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0" windowWidth="8460" windowHeight="5925" tabRatio="906" activeTab="1"/>
  </bookViews>
  <sheets>
    <sheet name="реквизиты" sheetId="1" r:id="rId1"/>
    <sheet name="Информация о предложении" sheetId="2" r:id="rId2"/>
  </sheets>
  <externalReferences>
    <externalReference r:id="rId5"/>
  </externalReferences>
  <definedNames>
    <definedName name="activity">'[1]Титульный'!$G$26</definedName>
    <definedName name="data">#REF!</definedName>
    <definedName name="delo">#REF!</definedName>
    <definedName name="year">#REF!</definedName>
    <definedName name="аморт">#REF!</definedName>
    <definedName name="Вид_услуги">#REF!</definedName>
    <definedName name="видтарифа">#REF!</definedName>
    <definedName name="водоотведение">#REF!</definedName>
    <definedName name="дата">#REF!</definedName>
    <definedName name="датаЗаключения">#REF!</definedName>
    <definedName name="дело">#REF!</definedName>
    <definedName name="ЕСН">#REF!</definedName>
    <definedName name="_xlnm.Print_Titles" localSheetId="1">'Информация о предложении'!$5:$7</definedName>
    <definedName name="Маришка">#REF!</definedName>
    <definedName name="матер">#REF!</definedName>
    <definedName name="НВВ">#REF!</definedName>
    <definedName name="_xlnm.Print_Area" localSheetId="1">'Информация о предложении'!$A$1:$P$127</definedName>
    <definedName name="ОКК">#REF!</definedName>
    <definedName name="отметкаНДС">#REF!</definedName>
    <definedName name="потребители">#REF!</definedName>
    <definedName name="прибыль">#REF!</definedName>
    <definedName name="прочие">#REF!</definedName>
    <definedName name="работы">#REF!</definedName>
    <definedName name="Рег">#REF!</definedName>
    <definedName name="СбСт">#REF!</definedName>
    <definedName name="сырье">#REF!</definedName>
    <definedName name="топливо">#REF!</definedName>
    <definedName name="Форма">#REF!</definedName>
    <definedName name="ФОТ">#REF!</definedName>
    <definedName name="энергия">#REF!</definedName>
    <definedName name="ЭСО">#REF!</definedName>
  </definedNames>
  <calcPr fullCalcOnLoad="1"/>
</workbook>
</file>

<file path=xl/sharedStrings.xml><?xml version="1.0" encoding="utf-8"?>
<sst xmlns="http://schemas.openxmlformats.org/spreadsheetml/2006/main" count="410" uniqueCount="263">
  <si>
    <t>прибыль на прочие цели</t>
  </si>
  <si>
    <t>20.6.1</t>
  </si>
  <si>
    <t>20.6.2</t>
  </si>
  <si>
    <t>20.1.1</t>
  </si>
  <si>
    <t>Экономически обоснованные расходы, не учтенные в величине финансовых потребностей, необходимые для реализации производственных программ организаций коммунального комплекса в предшествующие периоды регулирования</t>
  </si>
  <si>
    <t>Руководитель организации (должность)</t>
  </si>
  <si>
    <t>Руководитель организации (ФИО)</t>
  </si>
  <si>
    <t xml:space="preserve">Принято РСТ </t>
  </si>
  <si>
    <t xml:space="preserve">Год из факта </t>
  </si>
  <si>
    <t>Организация (сокращенно)</t>
  </si>
  <si>
    <t>Организация (по уставу)</t>
  </si>
  <si>
    <t>ОКПО</t>
  </si>
  <si>
    <t>ОКОГУ</t>
  </si>
  <si>
    <t>ОКФС</t>
  </si>
  <si>
    <t>ОКОПФ</t>
  </si>
  <si>
    <t>ОКВЭД</t>
  </si>
  <si>
    <t>Распределение воды, Сбор и очистка воды (в соответствии с Уставом)</t>
  </si>
  <si>
    <t>Рентабельность</t>
  </si>
  <si>
    <t>%</t>
  </si>
  <si>
    <t>население</t>
  </si>
  <si>
    <t>прочие потребители</t>
  </si>
  <si>
    <t>Наименование показателей</t>
  </si>
  <si>
    <t>чел.</t>
  </si>
  <si>
    <t>руб.</t>
  </si>
  <si>
    <t>объем выработки (собственная выработка)</t>
  </si>
  <si>
    <t>Затраты на оплату труда производственных рабочих</t>
  </si>
  <si>
    <t>выбрать из предлагаемого списка</t>
  </si>
  <si>
    <t>8.1</t>
  </si>
  <si>
    <t>2.1</t>
  </si>
  <si>
    <t>1</t>
  </si>
  <si>
    <t>3</t>
  </si>
  <si>
    <t>План (заявка предприятия)</t>
  </si>
  <si>
    <t>коэф.изм.к предыду-щему году</t>
  </si>
  <si>
    <t>Отклоне-ние</t>
  </si>
  <si>
    <t>ср/мес. Зарплата</t>
  </si>
  <si>
    <t xml:space="preserve">Амортизация основных средств </t>
  </si>
  <si>
    <t>Страховые взносы (отчисления на социальные нужды)</t>
  </si>
  <si>
    <t>Производственная программа</t>
  </si>
  <si>
    <t>собственные нужды</t>
  </si>
  <si>
    <t>покупка</t>
  </si>
  <si>
    <t>пропущено через очистные сооружения</t>
  </si>
  <si>
    <t>отпуск в сеть</t>
  </si>
  <si>
    <t>потери</t>
  </si>
  <si>
    <t>% потерь</t>
  </si>
  <si>
    <t>14.5</t>
  </si>
  <si>
    <t>другие налоги</t>
  </si>
  <si>
    <t>2</t>
  </si>
  <si>
    <t>2.2</t>
  </si>
  <si>
    <t>Материалы на технологию (реагенты)</t>
  </si>
  <si>
    <t>2.3</t>
  </si>
  <si>
    <t>Теплоэнергия</t>
  </si>
  <si>
    <t>5.1</t>
  </si>
  <si>
    <t>5.2</t>
  </si>
  <si>
    <t>5.3</t>
  </si>
  <si>
    <t>Аренда зданий и сооружений</t>
  </si>
  <si>
    <t>9.1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</si>
  <si>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</si>
  <si>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</si>
  <si>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</si>
  <si>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</si>
  <si>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</si>
  <si>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</si>
  <si>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</si>
  <si>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</si>
  <si>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</si>
  <si>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</si>
  <si>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</si>
  <si>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11.6</t>
  </si>
  <si>
    <t>12.1</t>
  </si>
  <si>
    <t>12.2</t>
  </si>
  <si>
    <t>13.1</t>
  </si>
  <si>
    <t>13.2</t>
  </si>
  <si>
    <t>13.3</t>
  </si>
  <si>
    <t>14</t>
  </si>
  <si>
    <t>14.1</t>
  </si>
  <si>
    <t>14.2</t>
  </si>
  <si>
    <t>14.3</t>
  </si>
  <si>
    <t>14.4</t>
  </si>
  <si>
    <t>15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</si>
  <si>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</si>
  <si>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</si>
  <si>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</si>
  <si>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</si>
  <si>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</si>
  <si>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</si>
  <si>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</si>
  <si>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</si>
  <si>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</si>
  <si>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</si>
  <si>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</si>
  <si>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</si>
  <si>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</si>
  <si>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</si>
  <si>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</si>
  <si>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</si>
  <si>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</si>
  <si>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</si>
  <si>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</si>
  <si>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</si>
  <si>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</si>
  <si>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</si>
  <si>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</si>
  <si>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17</t>
  </si>
  <si>
    <t>Расходы, связанные с производством и реализацией товаров (услуг) (Себестоимость)</t>
  </si>
  <si>
    <t>18</t>
  </si>
  <si>
    <t>18.1</t>
  </si>
  <si>
    <t>18.2</t>
  </si>
  <si>
    <t>18.3</t>
  </si>
  <si>
    <t>18.4</t>
  </si>
  <si>
    <t>19</t>
  </si>
  <si>
    <t>Внереализационные доходы</t>
  </si>
  <si>
    <t>20</t>
  </si>
  <si>
    <t>20.1</t>
  </si>
  <si>
    <t>20.2</t>
  </si>
  <si>
    <t>20.3</t>
  </si>
  <si>
    <t>20.4</t>
  </si>
  <si>
    <t>20.5</t>
  </si>
  <si>
    <t>20.6</t>
  </si>
  <si>
    <t>21</t>
  </si>
  <si>
    <t>22</t>
  </si>
  <si>
    <t>Экономически необоснованные расходы, подлежащие исключению из величины финансовых потребностей, необходимых для реализации производственных программ организаций коммунального комплекса в предшествующие периоды регулирования</t>
  </si>
  <si>
    <t>Объем реализации услуг ОКК:</t>
  </si>
  <si>
    <t>количество электроэнергии</t>
  </si>
  <si>
    <t>тыс.квт/ч</t>
  </si>
  <si>
    <t>тариф за 1 кВт.ч</t>
  </si>
  <si>
    <t>Удельный расход электроэнергии   на 1 куб.м</t>
  </si>
  <si>
    <t>Аренда  основного оборудования, всего, в том числе</t>
  </si>
  <si>
    <t>по договорам аренды</t>
  </si>
  <si>
    <t>по договарам лизинга</t>
  </si>
  <si>
    <t>по концессионным соглашениям</t>
  </si>
  <si>
    <t>Аренда  вспомогательного оборудования</t>
  </si>
  <si>
    <t>ставка рабочего 1 разряда</t>
  </si>
  <si>
    <t>численность осн.персонала</t>
  </si>
  <si>
    <t>ср/мес. зарплата</t>
  </si>
  <si>
    <t>процент начислений</t>
  </si>
  <si>
    <t>Текущий ремонт и техническое обслуживание, всего, в том числе</t>
  </si>
  <si>
    <t>затраты на оплату труда ремонтного персонала</t>
  </si>
  <si>
    <t>численность персонала</t>
  </si>
  <si>
    <t xml:space="preserve">материалы </t>
  </si>
  <si>
    <t>услуги сторонних организаций, в т.ч.ремонт подрядным способом</t>
  </si>
  <si>
    <t>Капитальный ремонт, всего, в том числе</t>
  </si>
  <si>
    <t xml:space="preserve">Покупная вода (услуги по транспортированию воды, очистке воды)  </t>
  </si>
  <si>
    <t>объем покупной воды</t>
  </si>
  <si>
    <t>тыс.м3</t>
  </si>
  <si>
    <t>тариф</t>
  </si>
  <si>
    <t>Прочие прямые расходы, всего, в том числе</t>
  </si>
  <si>
    <t>прочие производственные услуги</t>
  </si>
  <si>
    <t>услуги, оказываемые сторонними оргнаизациями, стоимость которых регулируется</t>
  </si>
  <si>
    <t>другие расходы</t>
  </si>
  <si>
    <t>Налоги (по видам налогов), всего, в том числе</t>
  </si>
  <si>
    <t>водный налог</t>
  </si>
  <si>
    <t>налог за землю</t>
  </si>
  <si>
    <t>транспортный налог</t>
  </si>
  <si>
    <t>Цеховые расходы, всего, в том числе</t>
  </si>
  <si>
    <t>затраты на оплату труда цехового персонала</t>
  </si>
  <si>
    <t>численность цех.персонала</t>
  </si>
  <si>
    <t xml:space="preserve">электроэнергия </t>
  </si>
  <si>
    <t>тариф за 1 кВт ч</t>
  </si>
  <si>
    <t>амортизация</t>
  </si>
  <si>
    <t>прочие</t>
  </si>
  <si>
    <t>Косвенные (прочие) расходы, всего, в том числе</t>
  </si>
  <si>
    <t>затраты на оплату труда АУП</t>
  </si>
  <si>
    <t>затраты на оплату труда прочего персонала</t>
  </si>
  <si>
    <t>Внереализационные расходы, всего, в том числе</t>
  </si>
  <si>
    <t>резервы по сомнительным долгам</t>
  </si>
  <si>
    <t>услуги банка</t>
  </si>
  <si>
    <t>проценты по кредиту</t>
  </si>
  <si>
    <t>другие</t>
  </si>
  <si>
    <t>Прибыль, всего, в том числе</t>
  </si>
  <si>
    <t>развитие производства, в том числе</t>
  </si>
  <si>
    <t>на мероприятия по производственной программе</t>
  </si>
  <si>
    <t xml:space="preserve">социальное развитие </t>
  </si>
  <si>
    <t>поощрение</t>
  </si>
  <si>
    <t>дивиденды</t>
  </si>
  <si>
    <t xml:space="preserve">налоги, сборы, платежи, всего, в том числе </t>
  </si>
  <si>
    <t>на прибыль</t>
  </si>
  <si>
    <t>тыс. м3</t>
  </si>
  <si>
    <t xml:space="preserve">руб/м3 </t>
  </si>
  <si>
    <t>тыс.руб.</t>
  </si>
  <si>
    <t>электроэнергия</t>
  </si>
  <si>
    <t>налог на имущество</t>
  </si>
  <si>
    <t>Основные данные и реквизиты регулируемой организации</t>
  </si>
  <si>
    <t>Муниципальный район</t>
  </si>
  <si>
    <t>Муниципальное образование</t>
  </si>
  <si>
    <t>ОКАТО</t>
  </si>
  <si>
    <t>ОКТМО</t>
  </si>
  <si>
    <t>ИНН</t>
  </si>
  <si>
    <t>КПП</t>
  </si>
  <si>
    <t>Организационно-правовая форма</t>
  </si>
  <si>
    <t>Юридический адрес организации</t>
  </si>
  <si>
    <t>Почтовый адрес организации</t>
  </si>
  <si>
    <t>Телефон</t>
  </si>
  <si>
    <t>Факс</t>
  </si>
  <si>
    <t>Электронный адрес организации</t>
  </si>
  <si>
    <t>Официальный сайт организации в сети Интернет</t>
  </si>
  <si>
    <t>Свидетельство  о государственной регистрации (кем и когда выдано)</t>
  </si>
  <si>
    <t>Банковские реквизиты</t>
  </si>
  <si>
    <t>№ р/сч</t>
  </si>
  <si>
    <t>наименование банка</t>
  </si>
  <si>
    <t>№ к/сч</t>
  </si>
  <si>
    <t>БИК</t>
  </si>
  <si>
    <t>Является ли организация филиалом</t>
  </si>
  <si>
    <t>Наименование головной организации</t>
  </si>
  <si>
    <t>Руководитель головной организации</t>
  </si>
  <si>
    <t>Юридический адрес головной организации</t>
  </si>
  <si>
    <t>Почтовый адрес головной организации</t>
  </si>
  <si>
    <t>Вид деятельности</t>
  </si>
  <si>
    <t>Применяемая система налогообложения</t>
  </si>
  <si>
    <t>№ п\п</t>
  </si>
  <si>
    <t>Ед. изм.</t>
  </si>
  <si>
    <t>Электроэнергия на технологические цели</t>
  </si>
  <si>
    <t>кВт/ч</t>
  </si>
  <si>
    <t>План</t>
  </si>
  <si>
    <t>8.2</t>
  </si>
  <si>
    <t>8.3</t>
  </si>
  <si>
    <t>10</t>
  </si>
  <si>
    <t>11</t>
  </si>
  <si>
    <t>12</t>
  </si>
  <si>
    <t>13</t>
  </si>
  <si>
    <t>страховые взносы</t>
  </si>
  <si>
    <t>Необходимая валовая выручка</t>
  </si>
  <si>
    <t>Факт</t>
  </si>
  <si>
    <t>бюджетные организации</t>
  </si>
  <si>
    <t>Отметка об учтенном НДС (без учета НДС/учтено освобождение от уплаты НДС)</t>
  </si>
  <si>
    <t>Матвеево-Курганский район</t>
  </si>
  <si>
    <t>6119009185</t>
  </si>
  <si>
    <t>611901001</t>
  </si>
  <si>
    <t>60231845001</t>
  </si>
  <si>
    <t>60631445</t>
  </si>
  <si>
    <t>Открытое акционерное общество "Водоканал" Матвеево - Курганского района</t>
  </si>
  <si>
    <t xml:space="preserve">Генеральный директор </t>
  </si>
  <si>
    <t xml:space="preserve">ОАО "Водоканал" </t>
  </si>
  <si>
    <t>Открытое акционерное общество</t>
  </si>
  <si>
    <t>346970, Ростовская область, п.Матвеев Курган, ул. Шолохова 25</t>
  </si>
  <si>
    <t>346970, Ростовская область, п.Матвеев Курган, ул. Пугачева 116</t>
  </si>
  <si>
    <t>886341 31305</t>
  </si>
  <si>
    <t>mkwater@bk.ru</t>
  </si>
  <si>
    <t>miuswater.narod.ru</t>
  </si>
  <si>
    <t>нет</t>
  </si>
  <si>
    <t>27143041</t>
  </si>
  <si>
    <t>49001</t>
  </si>
  <si>
    <t>47</t>
  </si>
  <si>
    <t>41.00.2</t>
  </si>
  <si>
    <t>Филиал № 5 ОАО КБ "Центр - Инвест" г. Таганрог</t>
  </si>
  <si>
    <t>40702810603400000101</t>
  </si>
  <si>
    <t>30101810700000000993</t>
  </si>
  <si>
    <t>046013993</t>
  </si>
  <si>
    <t xml:space="preserve">Свидетельство № 1066119007448 выдано МИФНС России № 1                       по Ростовской области 17 ноября 2006 года               </t>
  </si>
  <si>
    <t>Сбор и распределение воды питьевой</t>
  </si>
  <si>
    <t>Общая</t>
  </si>
  <si>
    <t>ОАО "Водоканал" Матвеево-Курганского района</t>
  </si>
  <si>
    <t>в т.ч. Матвеево-Курганский район</t>
  </si>
  <si>
    <t>в т.ч. Неклиновский район</t>
  </si>
  <si>
    <t>без учета НДС</t>
  </si>
  <si>
    <t>Юров Сергей Иванович</t>
  </si>
  <si>
    <t>Факт I кв. 2013 года</t>
  </si>
  <si>
    <t>прочие (ГСМ, уголь)</t>
  </si>
  <si>
    <t>МУЗ ЦРБ - медосмотры</t>
  </si>
  <si>
    <t>ГУП РО "М.Курганское ДРСУ", ООО "Автотрейдинг" - транспортные услуги</t>
  </si>
  <si>
    <t>Центр гигиены и эпидемиологии - лабораторный анализ проб воды; НОУ ДПО "Энергобезопасность" - обучение по ТБ; ГБУ РО "Наркологический диспансер" - обучение медработника; ООО ИКЦ "Мысль" - повышение квал. водителя автокрана; ООО "Издательство Форум Медиа" - обучение ГО; ООО "ТТЦ" - подготовка по промбезопасности</t>
  </si>
  <si>
    <t xml:space="preserve">Информация о предложении регулируемой организации об установлении тарифов в сфере холодного водоснабжения на очередной период регулирования </t>
  </si>
  <si>
    <t>Предлагаемый метод регулирования - метод установления фиксированных тарифов</t>
  </si>
  <si>
    <t>2014 год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</si>
</sst>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0"/>
    <numFmt numFmtId="166" formatCode="0.000"/>
    <numFmt numFmtId="167" formatCode="0.0"/>
    <numFmt numFmtId="168" formatCode="0.0000"/>
    <numFmt numFmtId="169" formatCode="#\."/>
    <numFmt numFmtId="170" formatCode="#.##0\.00"/>
    <numFmt numFmtId="171" formatCode="#\.00"/>
    <numFmt numFmtId="172" formatCode="\$#\.00"/>
    <numFmt numFmtId="173" formatCode="_-* #,##0_-;\-* #,##0_-;_-* &quot;-&quot;_-;_-@_-"/>
    <numFmt numFmtId="174" formatCode="_-* #,##0.00_-;\-* #,##0.00_-;_-* &quot;-&quot;??_-;_-@_-"/>
    <numFmt numFmtId="175" formatCode="&quot;$&quot;#,##0_);[Red]\(&quot;$&quot;#,##0\)"/>
    <numFmt numFmtId="176" formatCode="_-* #,##0.00[$€-1]_-;\-* #,##0.00[$€-1]_-;_-* &quot;-&quot;??[$€-1]_-"/>
    <numFmt numFmtId="177" formatCode="General_)"/>
    <numFmt numFmtId="178" formatCode="%#\.00"/>
    <numFmt numFmtId="179" formatCode="#,##0.0"/>
    <numFmt numFmtId="180" formatCode="#,##0.000_ ;\-#,##0.000\ "/>
    <numFmt numFmtId="181" formatCode="#,##0.00_ ;\-#,##0.00\ "/>
    <numFmt numFmtId="182" formatCode="0.0%"/>
    <numFmt numFmtId="183" formatCode="0.0%_);\(0.0%\)"/>
    <numFmt numFmtId="184" formatCode="#,##0_);[Red]\(#,##0\)"/>
    <numFmt numFmtId="185" formatCode="#,##0;\(#,##0\)"/>
    <numFmt numFmtId="186" formatCode="_-* #,##0.00\ _$_-;\-* #,##0.00\ _$_-;_-* &quot;-&quot;??\ _$_-;_-@_-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.000[$р.-419];\-#,##0.000[$р.-419]"/>
    <numFmt numFmtId="191" formatCode="_-* #,##0.0\ _$_-;\-* #,##0.0\ _$_-;_-* &quot;-&quot;??\ _$_-;_-@_-"/>
    <numFmt numFmtId="192" formatCode="#,##0.0_);\(#,##0.0\)"/>
    <numFmt numFmtId="193" formatCode="#,##0_ ;[Red]\-#,##0\ "/>
    <numFmt numFmtId="194" formatCode="#,##0_);[Blue]\(#,##0\)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_ ;[Red]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00"/>
  </numFmts>
  <fonts count="13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1"/>
      <name val="Times New Roman Cyr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Palatino"/>
      <family val="1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1"/>
      <color indexed="1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30" fillId="0" borderId="0">
      <alignment/>
      <protection/>
    </xf>
    <xf numFmtId="182" fontId="33" fillId="0" borderId="0">
      <alignment vertical="top"/>
      <protection/>
    </xf>
    <xf numFmtId="182" fontId="56" fillId="0" borderId="0">
      <alignment vertical="top"/>
      <protection/>
    </xf>
    <xf numFmtId="183" fontId="56" fillId="2" borderId="0">
      <alignment vertical="top"/>
      <protection/>
    </xf>
    <xf numFmtId="182" fontId="56" fillId="3" borderId="0">
      <alignment vertical="top"/>
      <protection/>
    </xf>
    <xf numFmtId="40" fontId="57" fillId="0" borderId="0" applyFont="0" applyFill="0" applyBorder="0" applyAlignment="0" applyProtection="0"/>
    <xf numFmtId="0" fontId="58" fillId="0" borderId="0">
      <alignment/>
      <protection/>
    </xf>
    <xf numFmtId="0" fontId="27" fillId="0" borderId="0">
      <alignment/>
      <protection/>
    </xf>
    <xf numFmtId="184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184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185" fontId="30" fillId="4" borderId="1">
      <alignment wrapText="1"/>
      <protection locked="0"/>
    </xf>
    <xf numFmtId="185" fontId="30" fillId="4" borderId="1">
      <alignment wrapText="1"/>
      <protection locked="0"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4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4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4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184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186" fontId="0" fillId="0" borderId="0" applyFont="0" applyFill="0" applyBorder="0" applyAlignment="0" applyProtection="0"/>
    <xf numFmtId="170" fontId="28" fillId="0" borderId="0">
      <alignment/>
      <protection locked="0"/>
    </xf>
    <xf numFmtId="171" fontId="28" fillId="0" borderId="0">
      <alignment/>
      <protection locked="0"/>
    </xf>
    <xf numFmtId="170" fontId="28" fillId="0" borderId="0">
      <alignment/>
      <protection locked="0"/>
    </xf>
    <xf numFmtId="171" fontId="28" fillId="0" borderId="0">
      <alignment/>
      <protection locked="0"/>
    </xf>
    <xf numFmtId="172" fontId="28" fillId="0" borderId="0">
      <alignment/>
      <protection locked="0"/>
    </xf>
    <xf numFmtId="169" fontId="28" fillId="0" borderId="2">
      <alignment/>
      <protection locked="0"/>
    </xf>
    <xf numFmtId="169" fontId="29" fillId="0" borderId="0">
      <alignment/>
      <protection locked="0"/>
    </xf>
    <xf numFmtId="169" fontId="29" fillId="0" borderId="0">
      <alignment/>
      <protection locked="0"/>
    </xf>
    <xf numFmtId="169" fontId="28" fillId="0" borderId="2">
      <alignment/>
      <protection locked="0"/>
    </xf>
    <xf numFmtId="0" fontId="31" fillId="5" borderId="0">
      <alignment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2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2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20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20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20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20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20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20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20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20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20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21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21" fillId="2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2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2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21" fillId="2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1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177" fontId="0" fillId="0" borderId="3">
      <alignment/>
      <protection locked="0"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7" borderId="0" applyNumberFormat="0" applyBorder="0" applyAlignment="0" applyProtection="0"/>
    <xf numFmtId="10" fontId="60" fillId="0" borderId="0" applyNumberFormat="0" applyFill="0" applyBorder="0" applyAlignment="0">
      <protection/>
    </xf>
    <xf numFmtId="0" fontId="1" fillId="0" borderId="0">
      <alignment/>
      <protection/>
    </xf>
    <xf numFmtId="0" fontId="12" fillId="2" borderId="4" applyNumberFormat="0" applyAlignment="0" applyProtection="0"/>
    <xf numFmtId="0" fontId="14" fillId="33" borderId="5" applyNumberFormat="0" applyAlignment="0" applyProtection="0"/>
    <xf numFmtId="0" fontId="61" fillId="0" borderId="6">
      <alignment horizontal="left" vertical="center"/>
      <protection/>
    </xf>
    <xf numFmtId="41" fontId="3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62" fillId="0" borderId="0" applyFont="0" applyFill="0" applyBorder="0" applyAlignment="0" applyProtection="0"/>
    <xf numFmtId="177" fontId="46" fillId="9" borderId="3">
      <alignment/>
      <protection/>
    </xf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62" fillId="0" borderId="0" applyFont="0" applyFill="0" applyBorder="0" applyAlignment="0" applyProtection="0"/>
    <xf numFmtId="0" fontId="55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2" fillId="0" borderId="0">
      <alignment vertical="top"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5" fillId="0" borderId="7" applyNumberFormat="0" applyFont="0" applyFill="0" applyAlignment="0" applyProtection="0"/>
    <xf numFmtId="0" fontId="63" fillId="0" borderId="0" applyNumberFormat="0" applyFill="0" applyBorder="0" applyAlignment="0" applyProtection="0"/>
    <xf numFmtId="184" fontId="64" fillId="0" borderId="0">
      <alignment vertical="top"/>
      <protection/>
    </xf>
    <xf numFmtId="38" fontId="64" fillId="0" borderId="0">
      <alignment vertical="top"/>
      <protection/>
    </xf>
    <xf numFmtId="38" fontId="64" fillId="0" borderId="0">
      <alignment vertical="top"/>
      <protection/>
    </xf>
    <xf numFmtId="176" fontId="2" fillId="0" borderId="0" applyFont="0" applyFill="0" applyBorder="0" applyAlignment="0" applyProtection="0"/>
    <xf numFmtId="37" fontId="30" fillId="0" borderId="0">
      <alignment/>
      <protection/>
    </xf>
    <xf numFmtId="0" fontId="16" fillId="0" borderId="0" applyNumberFormat="0" applyFill="0" applyBorder="0" applyAlignment="0" applyProtection="0"/>
    <xf numFmtId="167" fontId="32" fillId="0" borderId="0" applyFill="0" applyBorder="0" applyAlignment="0" applyProtection="0"/>
    <xf numFmtId="167" fontId="33" fillId="0" borderId="0" applyFill="0" applyBorder="0" applyAlignment="0" applyProtection="0"/>
    <xf numFmtId="167" fontId="34" fillId="0" borderId="0" applyFill="0" applyBorder="0" applyAlignment="0" applyProtection="0"/>
    <xf numFmtId="167" fontId="35" fillId="0" borderId="0" applyFill="0" applyBorder="0" applyAlignment="0" applyProtection="0"/>
    <xf numFmtId="167" fontId="36" fillId="0" borderId="0" applyFill="0" applyBorder="0" applyAlignment="0" applyProtection="0"/>
    <xf numFmtId="167" fontId="37" fillId="0" borderId="0" applyFill="0" applyBorder="0" applyAlignment="0" applyProtection="0"/>
    <xf numFmtId="167" fontId="38" fillId="0" borderId="0" applyFill="0" applyBorder="0" applyAlignment="0" applyProtection="0"/>
    <xf numFmtId="2" fontId="62" fillId="0" borderId="0" applyFont="0" applyFill="0" applyBorder="0" applyAlignment="0" applyProtection="0"/>
    <xf numFmtId="0" fontId="65" fillId="0" borderId="0">
      <alignment vertical="center"/>
      <protection/>
    </xf>
    <xf numFmtId="0" fontId="24" fillId="0" borderId="0" applyNumberFormat="0" applyFill="0" applyBorder="0" applyAlignment="0" applyProtection="0"/>
    <xf numFmtId="0" fontId="66" fillId="0" borderId="0" applyFill="0" applyBorder="0" applyProtection="0">
      <alignment horizontal="left"/>
    </xf>
    <xf numFmtId="0" fontId="7" fillId="3" borderId="0" applyNumberFormat="0" applyBorder="0" applyAlignment="0" applyProtection="0"/>
    <xf numFmtId="182" fontId="30" fillId="3" borderId="6" applyNumberFormat="0" applyFont="0" applyBorder="0" applyAlignment="0" applyProtection="0"/>
    <xf numFmtId="0" fontId="55" fillId="0" borderId="0" applyFont="0" applyFill="0" applyBorder="0" applyAlignment="0" applyProtection="0"/>
    <xf numFmtId="192" fontId="67" fillId="3" borderId="0" applyNumberFormat="0" applyFont="0" applyAlignment="0">
      <protection/>
    </xf>
    <xf numFmtId="0" fontId="68" fillId="0" borderId="0" applyProtection="0">
      <alignment horizontal="right"/>
    </xf>
    <xf numFmtId="0" fontId="69" fillId="0" borderId="0">
      <alignment vertical="top"/>
      <protection/>
    </xf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0" applyNumberFormat="0" applyFill="0" applyBorder="0" applyAlignment="0" applyProtection="0"/>
    <xf numFmtId="2" fontId="70" fillId="34" borderId="0" applyAlignment="0">
      <protection locked="0"/>
    </xf>
    <xf numFmtId="184" fontId="71" fillId="0" borderId="0">
      <alignment vertical="top"/>
      <protection/>
    </xf>
    <xf numFmtId="38" fontId="71" fillId="0" borderId="0">
      <alignment vertical="top"/>
      <protection/>
    </xf>
    <xf numFmtId="38" fontId="71" fillId="0" borderId="0">
      <alignment vertical="top"/>
      <protection/>
    </xf>
    <xf numFmtId="0" fontId="23" fillId="0" borderId="0" applyNumberFormat="0" applyFill="0" applyBorder="0" applyAlignment="0" applyProtection="0"/>
    <xf numFmtId="177" fontId="65" fillId="0" borderId="0">
      <alignment/>
      <protection/>
    </xf>
    <xf numFmtId="0" fontId="30" fillId="0" borderId="0">
      <alignment/>
      <protection/>
    </xf>
    <xf numFmtId="0" fontId="72" fillId="0" borderId="0" applyNumberFormat="0" applyFill="0" applyBorder="0" applyAlignment="0" applyProtection="0"/>
    <xf numFmtId="193" fontId="73" fillId="0" borderId="6">
      <alignment horizontal="center" vertical="center" wrapText="1"/>
      <protection/>
    </xf>
    <xf numFmtId="0" fontId="10" fillId="10" borderId="4" applyNumberFormat="0" applyAlignment="0" applyProtection="0"/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184" fontId="56" fillId="0" borderId="0">
      <alignment vertical="top"/>
      <protection/>
    </xf>
    <xf numFmtId="184" fontId="56" fillId="2" borderId="0">
      <alignment vertical="top"/>
      <protection/>
    </xf>
    <xf numFmtId="38" fontId="56" fillId="2" borderId="0">
      <alignment vertical="top"/>
      <protection/>
    </xf>
    <xf numFmtId="38" fontId="56" fillId="2" borderId="0">
      <alignment vertical="top"/>
      <protection/>
    </xf>
    <xf numFmtId="38" fontId="56" fillId="0" borderId="0">
      <alignment vertical="top"/>
      <protection/>
    </xf>
    <xf numFmtId="194" fontId="56" fillId="3" borderId="0">
      <alignment vertical="top"/>
      <protection/>
    </xf>
    <xf numFmtId="38" fontId="56" fillId="0" borderId="0">
      <alignment vertical="top"/>
      <protection/>
    </xf>
    <xf numFmtId="0" fontId="13" fillId="0" borderId="11" applyNumberFormat="0" applyFill="0" applyAlignment="0" applyProtection="0"/>
    <xf numFmtId="173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95" fontId="76" fillId="0" borderId="6">
      <alignment horizontal="right"/>
      <protection locked="0"/>
    </xf>
    <xf numFmtId="196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6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ill="0" applyBorder="0" applyProtection="0">
      <alignment vertical="center"/>
    </xf>
    <xf numFmtId="0" fontId="55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9" fillId="4" borderId="0" applyNumberFormat="0" applyBorder="0" applyAlignment="0" applyProtection="0"/>
    <xf numFmtId="0" fontId="31" fillId="0" borderId="13">
      <alignment/>
      <protection/>
    </xf>
    <xf numFmtId="0" fontId="39" fillId="0" borderId="0" applyNumberFormat="0" applyFill="0" applyBorder="0" applyAlignment="0" applyProtection="0"/>
    <xf numFmtId="198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>
      <alignment horizontal="right"/>
      <protection/>
    </xf>
    <xf numFmtId="0" fontId="0" fillId="0" borderId="0">
      <alignment/>
      <protection/>
    </xf>
    <xf numFmtId="0" fontId="40" fillId="0" borderId="0">
      <alignment/>
      <protection/>
    </xf>
    <xf numFmtId="0" fontId="55" fillId="0" borderId="0" applyFill="0" applyBorder="0" applyProtection="0">
      <alignment vertical="center"/>
    </xf>
    <xf numFmtId="0" fontId="78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41" fillId="35" borderId="14" applyNumberFormat="0" applyFont="0" applyAlignment="0" applyProtection="0"/>
    <xf numFmtId="199" fontId="0" fillId="0" borderId="0" applyFont="0" applyAlignment="0"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0" borderId="0">
      <alignment/>
      <protection/>
    </xf>
    <xf numFmtId="202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0" fontId="11" fillId="2" borderId="15" applyNumberFormat="0" applyAlignment="0" applyProtection="0"/>
    <xf numFmtId="1" fontId="79" fillId="0" borderId="0" applyProtection="0">
      <alignment horizontal="right" vertical="center"/>
    </xf>
    <xf numFmtId="49" fontId="80" fillId="0" borderId="16" applyFill="0" applyProtection="0">
      <alignment vertical="center"/>
    </xf>
    <xf numFmtId="9" fontId="30" fillId="0" borderId="0" applyFont="0" applyFill="0" applyBorder="0" applyAlignment="0" applyProtection="0"/>
    <xf numFmtId="0" fontId="55" fillId="0" borderId="0" applyFill="0" applyBorder="0" applyProtection="0">
      <alignment vertical="center"/>
    </xf>
    <xf numFmtId="37" fontId="81" fillId="4" borderId="17">
      <alignment/>
      <protection/>
    </xf>
    <xf numFmtId="37" fontId="81" fillId="4" borderId="17">
      <alignment/>
      <protection/>
    </xf>
    <xf numFmtId="0" fontId="40" fillId="0" borderId="0" applyNumberFormat="0">
      <alignment horizontal="left"/>
      <protection/>
    </xf>
    <xf numFmtId="204" fontId="82" fillId="0" borderId="18" applyBorder="0">
      <alignment horizontal="right"/>
      <protection locked="0"/>
    </xf>
    <xf numFmtId="49" fontId="83" fillId="0" borderId="6" applyNumberFormat="0">
      <alignment horizontal="left" vertical="center"/>
      <protection/>
    </xf>
    <xf numFmtId="0" fontId="84" fillId="0" borderId="19">
      <alignment vertical="center"/>
      <protection/>
    </xf>
    <xf numFmtId="4" fontId="85" fillId="4" borderId="15" applyNumberFormat="0" applyProtection="0">
      <alignment vertical="center"/>
    </xf>
    <xf numFmtId="4" fontId="86" fillId="4" borderId="15" applyNumberFormat="0" applyProtection="0">
      <alignment vertical="center"/>
    </xf>
    <xf numFmtId="4" fontId="85" fillId="4" borderId="15" applyNumberFormat="0" applyProtection="0">
      <alignment horizontal="left" vertical="center" indent="1"/>
    </xf>
    <xf numFmtId="4" fontId="85" fillId="4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4" fontId="85" fillId="7" borderId="15" applyNumberFormat="0" applyProtection="0">
      <alignment horizontal="right" vertical="center"/>
    </xf>
    <xf numFmtId="4" fontId="85" fillId="14" borderId="15" applyNumberFormat="0" applyProtection="0">
      <alignment horizontal="right" vertical="center"/>
    </xf>
    <xf numFmtId="4" fontId="85" fillId="30" borderId="15" applyNumberFormat="0" applyProtection="0">
      <alignment horizontal="right" vertical="center"/>
    </xf>
    <xf numFmtId="4" fontId="85" fillId="16" borderId="15" applyNumberFormat="0" applyProtection="0">
      <alignment horizontal="right" vertical="center"/>
    </xf>
    <xf numFmtId="4" fontId="85" fillId="25" borderId="15" applyNumberFormat="0" applyProtection="0">
      <alignment horizontal="right" vertical="center"/>
    </xf>
    <xf numFmtId="4" fontId="85" fillId="32" borderId="15" applyNumberFormat="0" applyProtection="0">
      <alignment horizontal="right" vertical="center"/>
    </xf>
    <xf numFmtId="4" fontId="85" fillId="31" borderId="15" applyNumberFormat="0" applyProtection="0">
      <alignment horizontal="right" vertical="center"/>
    </xf>
    <xf numFmtId="4" fontId="85" fillId="36" borderId="15" applyNumberFormat="0" applyProtection="0">
      <alignment horizontal="right" vertical="center"/>
    </xf>
    <xf numFmtId="4" fontId="85" fillId="15" borderId="15" applyNumberFormat="0" applyProtection="0">
      <alignment horizontal="right" vertical="center"/>
    </xf>
    <xf numFmtId="4" fontId="87" fillId="37" borderId="15" applyNumberFormat="0" applyProtection="0">
      <alignment horizontal="left" vertical="center" indent="1"/>
    </xf>
    <xf numFmtId="4" fontId="85" fillId="38" borderId="20" applyNumberFormat="0" applyProtection="0">
      <alignment horizontal="left" vertical="center" indent="1"/>
    </xf>
    <xf numFmtId="4" fontId="88" fillId="39" borderId="0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4" fontId="85" fillId="38" borderId="15" applyNumberFormat="0" applyProtection="0">
      <alignment horizontal="left" vertical="center" indent="1"/>
    </xf>
    <xf numFmtId="4" fontId="85" fillId="40" borderId="15" applyNumberFormat="0" applyProtection="0">
      <alignment horizontal="left" vertical="center" indent="1"/>
    </xf>
    <xf numFmtId="0" fontId="30" fillId="40" borderId="15" applyNumberFormat="0" applyProtection="0">
      <alignment horizontal="left" vertical="center" indent="1"/>
    </xf>
    <xf numFmtId="0" fontId="30" fillId="40" borderId="15" applyNumberFormat="0" applyProtection="0">
      <alignment horizontal="left" vertical="center" indent="1"/>
    </xf>
    <xf numFmtId="0" fontId="30" fillId="40" borderId="15" applyNumberFormat="0" applyProtection="0">
      <alignment horizontal="left" vertical="center" indent="1"/>
    </xf>
    <xf numFmtId="0" fontId="30" fillId="40" borderId="15" applyNumberFormat="0" applyProtection="0">
      <alignment horizontal="left" vertical="center" indent="1"/>
    </xf>
    <xf numFmtId="0" fontId="30" fillId="40" borderId="15" applyNumberFormat="0" applyProtection="0">
      <alignment horizontal="left" vertical="center" indent="1"/>
    </xf>
    <xf numFmtId="0" fontId="30" fillId="40" borderId="15" applyNumberFormat="0" applyProtection="0">
      <alignment horizontal="left" vertical="center" indent="1"/>
    </xf>
    <xf numFmtId="0" fontId="30" fillId="33" borderId="15" applyNumberFormat="0" applyProtection="0">
      <alignment horizontal="left" vertical="center" indent="1"/>
    </xf>
    <xf numFmtId="0" fontId="30" fillId="33" borderId="15" applyNumberFormat="0" applyProtection="0">
      <alignment horizontal="left" vertical="center" indent="1"/>
    </xf>
    <xf numFmtId="0" fontId="30" fillId="33" borderId="15" applyNumberFormat="0" applyProtection="0">
      <alignment horizontal="left" vertical="center" indent="1"/>
    </xf>
    <xf numFmtId="0" fontId="30" fillId="33" borderId="15" applyNumberFormat="0" applyProtection="0">
      <alignment horizontal="left" vertical="center" indent="1"/>
    </xf>
    <xf numFmtId="0" fontId="30" fillId="33" borderId="15" applyNumberFormat="0" applyProtection="0">
      <alignment horizontal="left" vertical="center" indent="1"/>
    </xf>
    <xf numFmtId="0" fontId="30" fillId="33" borderId="15" applyNumberFormat="0" applyProtection="0">
      <alignment horizontal="left" vertical="center" indent="1"/>
    </xf>
    <xf numFmtId="0" fontId="30" fillId="2" borderId="15" applyNumberFormat="0" applyProtection="0">
      <alignment horizontal="left" vertical="center" indent="1"/>
    </xf>
    <xf numFmtId="0" fontId="30" fillId="2" borderId="15" applyNumberFormat="0" applyProtection="0">
      <alignment horizontal="left" vertical="center" indent="1"/>
    </xf>
    <xf numFmtId="0" fontId="30" fillId="2" borderId="15" applyNumberFormat="0" applyProtection="0">
      <alignment horizontal="left" vertical="center" indent="1"/>
    </xf>
    <xf numFmtId="0" fontId="30" fillId="2" borderId="15" applyNumberFormat="0" applyProtection="0">
      <alignment horizontal="left" vertical="center" indent="1"/>
    </xf>
    <xf numFmtId="0" fontId="30" fillId="2" borderId="15" applyNumberFormat="0" applyProtection="0">
      <alignment horizontal="left" vertical="center" indent="1"/>
    </xf>
    <xf numFmtId="0" fontId="30" fillId="2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5" fillId="35" borderId="15" applyNumberFormat="0" applyProtection="0">
      <alignment vertical="center"/>
    </xf>
    <xf numFmtId="4" fontId="86" fillId="35" borderId="15" applyNumberFormat="0" applyProtection="0">
      <alignment vertical="center"/>
    </xf>
    <xf numFmtId="4" fontId="85" fillId="35" borderId="15" applyNumberFormat="0" applyProtection="0">
      <alignment horizontal="left" vertical="center" indent="1"/>
    </xf>
    <xf numFmtId="4" fontId="85" fillId="35" borderId="15" applyNumberFormat="0" applyProtection="0">
      <alignment horizontal="left" vertical="center" indent="1"/>
    </xf>
    <xf numFmtId="4" fontId="85" fillId="38" borderId="15" applyNumberFormat="0" applyProtection="0">
      <alignment horizontal="right" vertical="center"/>
    </xf>
    <xf numFmtId="4" fontId="86" fillId="38" borderId="15" applyNumberFormat="0" applyProtection="0">
      <alignment horizontal="right" vertical="center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30" fillId="6" borderId="15" applyNumberFormat="0" applyProtection="0">
      <alignment horizontal="left" vertical="center" indent="1"/>
    </xf>
    <xf numFmtId="0" fontId="89" fillId="0" borderId="0">
      <alignment/>
      <protection/>
    </xf>
    <xf numFmtId="4" fontId="90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30" fillId="0" borderId="0">
      <alignment/>
      <protection/>
    </xf>
    <xf numFmtId="0" fontId="27" fillId="0" borderId="0">
      <alignment/>
      <protection/>
    </xf>
    <xf numFmtId="0" fontId="91" fillId="0" borderId="0" applyBorder="0" applyProtection="0">
      <alignment vertical="center"/>
    </xf>
    <xf numFmtId="0" fontId="91" fillId="0" borderId="16" applyBorder="0" applyProtection="0">
      <alignment horizontal="right" vertical="center"/>
    </xf>
    <xf numFmtId="0" fontId="92" fillId="41" borderId="0" applyBorder="0" applyProtection="0">
      <alignment horizontal="centerContinuous" vertical="center"/>
    </xf>
    <xf numFmtId="0" fontId="92" fillId="42" borderId="16" applyBorder="0" applyProtection="0">
      <alignment horizontal="centerContinuous" vertical="center"/>
    </xf>
    <xf numFmtId="0" fontId="93" fillId="0" borderId="0">
      <alignment/>
      <protection/>
    </xf>
    <xf numFmtId="184" fontId="94" fillId="43" borderId="0">
      <alignment horizontal="right" vertical="top"/>
      <protection/>
    </xf>
    <xf numFmtId="38" fontId="94" fillId="43" borderId="0">
      <alignment horizontal="right" vertical="top"/>
      <protection/>
    </xf>
    <xf numFmtId="38" fontId="94" fillId="43" borderId="0">
      <alignment horizontal="right" vertical="top"/>
      <protection/>
    </xf>
    <xf numFmtId="0" fontId="78" fillId="0" borderId="0">
      <alignment/>
      <protection/>
    </xf>
    <xf numFmtId="0" fontId="95" fillId="0" borderId="0" applyFill="0" applyBorder="0" applyProtection="0">
      <alignment horizontal="left"/>
    </xf>
    <xf numFmtId="0" fontId="66" fillId="0" borderId="21" applyFill="0" applyBorder="0" applyProtection="0">
      <alignment horizontal="left" vertical="top"/>
    </xf>
    <xf numFmtId="0" fontId="96" fillId="0" borderId="0">
      <alignment horizontal="centerContinuous"/>
      <protection/>
    </xf>
    <xf numFmtId="0" fontId="97" fillId="0" borderId="21" applyFill="0" applyBorder="0" applyProtection="0">
      <alignment/>
    </xf>
    <xf numFmtId="0" fontId="97" fillId="0" borderId="0">
      <alignment/>
      <protection/>
    </xf>
    <xf numFmtId="0" fontId="98" fillId="0" borderId="0" applyFill="0" applyBorder="0" applyProtection="0">
      <alignment/>
    </xf>
    <xf numFmtId="0" fontId="99" fillId="0" borderId="0">
      <alignment/>
      <protection/>
    </xf>
    <xf numFmtId="0" fontId="3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0" fillId="0" borderId="7" applyFill="0" applyBorder="0" applyProtection="0">
      <alignment vertical="center"/>
    </xf>
    <xf numFmtId="0" fontId="101" fillId="0" borderId="0">
      <alignment horizontal="fill"/>
      <protection/>
    </xf>
    <xf numFmtId="0" fontId="30" fillId="0" borderId="0">
      <alignment/>
      <protection/>
    </xf>
    <xf numFmtId="0" fontId="15" fillId="0" borderId="0" applyNumberFormat="0" applyFill="0" applyBorder="0" applyAlignment="0" applyProtection="0"/>
    <xf numFmtId="0" fontId="102" fillId="0" borderId="16" applyBorder="0" applyProtection="0">
      <alignment horizontal="right"/>
    </xf>
    <xf numFmtId="0" fontId="121" fillId="44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21" fillId="4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21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21" fillId="4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21" fillId="4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1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7" fontId="0" fillId="0" borderId="3">
      <alignment/>
      <protection locked="0"/>
    </xf>
    <xf numFmtId="0" fontId="122" fillId="50" borderId="23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3" fontId="103" fillId="0" borderId="0">
      <alignment horizontal="center" vertical="center" textRotation="90" wrapText="1"/>
      <protection/>
    </xf>
    <xf numFmtId="180" fontId="0" fillId="0" borderId="6">
      <alignment vertical="top" wrapText="1"/>
      <protection/>
    </xf>
    <xf numFmtId="0" fontId="123" fillId="51" borderId="24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24" fillId="51" borderId="23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2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05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20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05" fontId="107" fillId="0" borderId="6">
      <alignment/>
      <protection/>
    </xf>
    <xf numFmtId="205" fontId="106" fillId="0" borderId="6">
      <alignment horizontal="center" vertical="center" wrapText="1"/>
      <protection/>
    </xf>
    <xf numFmtId="205" fontId="106" fillId="0" borderId="6">
      <alignment vertical="top" wrapText="1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125" fillId="0" borderId="25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126" fillId="0" borderId="26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127" fillId="0" borderId="27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8" applyBorder="0">
      <alignment horizontal="center" vertical="center" wrapText="1"/>
      <protection/>
    </xf>
    <xf numFmtId="177" fontId="46" fillId="9" borderId="3">
      <alignment/>
      <protection/>
    </xf>
    <xf numFmtId="4" fontId="41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8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6" fillId="0" borderId="6" applyBorder="0">
      <alignment vertical="center"/>
      <protection/>
    </xf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129" fillId="55" borderId="30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14" fillId="33" borderId="5" applyNumberFormat="0" applyAlignment="0" applyProtection="0"/>
    <xf numFmtId="0" fontId="0" fillId="0" borderId="0">
      <alignment wrapText="1"/>
      <protection/>
    </xf>
    <xf numFmtId="0" fontId="44" fillId="0" borderId="0">
      <alignment horizontal="center" vertical="top" wrapText="1"/>
      <protection/>
    </xf>
    <xf numFmtId="0" fontId="47" fillId="0" borderId="0">
      <alignment horizontal="centerContinuous" vertical="center"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0" fontId="39" fillId="3" borderId="0" applyFill="0">
      <alignment wrapText="1"/>
      <protection/>
    </xf>
    <xf numFmtId="165" fontId="20" fillId="3" borderId="6">
      <alignment wrapText="1"/>
      <protection/>
    </xf>
    <xf numFmtId="0" fontId="1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111" fillId="0" borderId="0">
      <alignment/>
      <protection/>
    </xf>
    <xf numFmtId="0" fontId="131" fillId="5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9" fontId="103" fillId="0" borderId="6">
      <alignment horizontal="right" vertical="top" wrapText="1"/>
      <protection/>
    </xf>
    <xf numFmtId="167" fontId="112" fillId="0" borderId="0">
      <alignment horizontal="right" vertical="top" wrapText="1"/>
      <protection/>
    </xf>
    <xf numFmtId="49" fontId="41" fillId="0" borderId="0" applyBorder="0">
      <alignment vertical="top"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2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2" fillId="5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5" fontId="114" fillId="0" borderId="6">
      <alignment vertical="top"/>
      <protection/>
    </xf>
    <xf numFmtId="167" fontId="48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0" fontId="30" fillId="35" borderId="14" applyNumberFormat="0" applyFont="0" applyAlignment="0" applyProtection="0"/>
    <xf numFmtId="49" fontId="20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115" fillId="0" borderId="6">
      <alignment/>
      <protection/>
    </xf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4" fillId="0" borderId="32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27" fillId="0" borderId="0">
      <alignment/>
      <protection/>
    </xf>
    <xf numFmtId="184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49" fontId="105" fillId="60" borderId="33" applyBorder="0" applyProtection="0">
      <alignment horizontal="left" vertical="center"/>
    </xf>
    <xf numFmtId="49" fontId="112" fillId="0" borderId="0">
      <alignment/>
      <protection/>
    </xf>
    <xf numFmtId="49" fontId="117" fillId="0" borderId="0">
      <alignment vertical="top"/>
      <protection/>
    </xf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167" fontId="39" fillId="0" borderId="0" applyFill="0" applyBorder="0" applyAlignment="0" applyProtection="0"/>
    <xf numFmtId="0" fontId="1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49" fontId="39" fillId="0" borderId="0">
      <alignment horizontal="center"/>
      <protection/>
    </xf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4" fontId="41" fillId="3" borderId="0" applyBorder="0">
      <alignment horizontal="right"/>
      <protection/>
    </xf>
    <xf numFmtId="4" fontId="41" fillId="3" borderId="0" applyBorder="0">
      <alignment horizontal="right"/>
      <protection/>
    </xf>
    <xf numFmtId="4" fontId="41" fillId="3" borderId="0" applyBorder="0">
      <alignment horizontal="right"/>
      <protection/>
    </xf>
    <xf numFmtId="4" fontId="41" fillId="10" borderId="34" applyBorder="0">
      <alignment horizontal="right"/>
      <protection/>
    </xf>
    <xf numFmtId="4" fontId="41" fillId="3" borderId="6" applyFont="0" applyBorder="0">
      <alignment horizontal="right"/>
      <protection/>
    </xf>
    <xf numFmtId="0" fontId="136" fillId="6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0" fillId="0" borderId="1">
      <alignment vertical="top" wrapText="1"/>
      <protection/>
    </xf>
    <xf numFmtId="179" fontId="0" fillId="0" borderId="6" applyFont="0" applyFill="0" applyBorder="0" applyProtection="0">
      <alignment horizontal="center" vertical="center"/>
    </xf>
    <xf numFmtId="179" fontId="0" fillId="0" borderId="6" applyFont="0" applyFill="0" applyBorder="0" applyProtection="0">
      <alignment horizontal="center" vertical="center"/>
    </xf>
    <xf numFmtId="179" fontId="0" fillId="0" borderId="6" applyFont="0" applyFill="0" applyBorder="0" applyProtection="0">
      <alignment horizontal="center" vertical="center"/>
    </xf>
    <xf numFmtId="179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78" fontId="28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106" fillId="0" borderId="6">
      <alignment horizontal="center" vertical="center" wrapText="1"/>
      <protection/>
    </xf>
    <xf numFmtId="49" fontId="2" fillId="0" borderId="6" applyNumberFormat="0" applyFill="0" applyAlignment="0" applyProtection="0"/>
    <xf numFmtId="165" fontId="0" fillId="0" borderId="0">
      <alignment/>
      <protection/>
    </xf>
    <xf numFmtId="0" fontId="30" fillId="0" borderId="0">
      <alignment/>
      <protection/>
    </xf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Continuous" vertical="center"/>
    </xf>
    <xf numFmtId="0" fontId="22" fillId="0" borderId="6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right" vertical="center" wrapText="1"/>
    </xf>
    <xf numFmtId="166" fontId="52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 indent="1"/>
    </xf>
    <xf numFmtId="0" fontId="21" fillId="0" borderId="6" xfId="0" applyNumberFormat="1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 wrapText="1"/>
    </xf>
    <xf numFmtId="167" fontId="21" fillId="0" borderId="6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left" vertical="center" wrapText="1" indent="1"/>
    </xf>
    <xf numFmtId="0" fontId="1" fillId="3" borderId="35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vertical="center" wrapText="1"/>
    </xf>
    <xf numFmtId="0" fontId="1" fillId="3" borderId="39" xfId="0" applyFont="1" applyFill="1" applyBorder="1" applyAlignment="1">
      <alignment vertical="center" wrapText="1"/>
    </xf>
    <xf numFmtId="49" fontId="1" fillId="4" borderId="40" xfId="0" applyNumberFormat="1" applyFont="1" applyFill="1" applyBorder="1" applyAlignment="1">
      <alignment horizontal="center" vertical="center" wrapText="1"/>
    </xf>
    <xf numFmtId="49" fontId="1" fillId="4" borderId="41" xfId="0" applyNumberFormat="1" applyFont="1" applyFill="1" applyBorder="1" applyAlignment="1">
      <alignment horizontal="center" vertical="center" wrapText="1"/>
    </xf>
    <xf numFmtId="49" fontId="1" fillId="4" borderId="37" xfId="0" applyNumberFormat="1" applyFont="1" applyFill="1" applyBorder="1" applyAlignment="1">
      <alignment horizontal="center" vertical="center" wrapText="1"/>
    </xf>
    <xf numFmtId="49" fontId="23" fillId="4" borderId="41" xfId="1552" applyNumberFormat="1" applyFill="1" applyBorder="1" applyAlignment="1" applyProtection="1">
      <alignment horizontal="center" vertical="center" wrapText="1"/>
      <protection/>
    </xf>
    <xf numFmtId="49" fontId="1" fillId="4" borderId="42" xfId="0" applyNumberFormat="1" applyFont="1" applyFill="1" applyBorder="1" applyAlignment="1">
      <alignment horizontal="center" vertical="center" wrapText="1"/>
    </xf>
    <xf numFmtId="49" fontId="50" fillId="4" borderId="42" xfId="0" applyNumberFormat="1" applyFont="1" applyFill="1" applyBorder="1" applyAlignment="1">
      <alignment horizontal="center" vertical="center" wrapText="1"/>
    </xf>
    <xf numFmtId="49" fontId="51" fillId="4" borderId="42" xfId="0" applyNumberFormat="1" applyFont="1" applyFill="1" applyBorder="1" applyAlignment="1">
      <alignment horizontal="center" vertical="center" wrapText="1"/>
    </xf>
    <xf numFmtId="49" fontId="50" fillId="54" borderId="43" xfId="0" applyNumberFormat="1" applyFont="1" applyFill="1" applyBorder="1" applyAlignment="1">
      <alignment horizontal="center" vertical="center" wrapText="1"/>
    </xf>
    <xf numFmtId="2" fontId="54" fillId="0" borderId="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53" fillId="0" borderId="6" xfId="0" applyNumberFormat="1" applyFont="1" applyFill="1" applyBorder="1" applyAlignment="1">
      <alignment horizontal="center" vertical="center" wrapText="1"/>
    </xf>
    <xf numFmtId="166" fontId="53" fillId="0" borderId="6" xfId="0" applyNumberFormat="1" applyFont="1" applyFill="1" applyBorder="1" applyAlignment="1">
      <alignment horizontal="center" vertical="center" wrapText="1"/>
    </xf>
    <xf numFmtId="2" fontId="52" fillId="0" borderId="6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166" fontId="52" fillId="0" borderId="6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center" wrapText="1"/>
    </xf>
    <xf numFmtId="166" fontId="53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vertical="center" wrapText="1"/>
    </xf>
    <xf numFmtId="2" fontId="52" fillId="0" borderId="6" xfId="0" applyNumberFormat="1" applyFont="1" applyFill="1" applyBorder="1" applyAlignment="1">
      <alignment horizontal="center" wrapText="1"/>
    </xf>
    <xf numFmtId="166" fontId="53" fillId="0" borderId="6" xfId="0" applyNumberFormat="1" applyFont="1" applyFill="1" applyBorder="1" applyAlignment="1">
      <alignment horizontal="center" wrapText="1"/>
    </xf>
    <xf numFmtId="2" fontId="53" fillId="0" borderId="6" xfId="0" applyNumberFormat="1" applyFont="1" applyFill="1" applyBorder="1" applyAlignment="1">
      <alignment horizontal="center" wrapText="1"/>
    </xf>
    <xf numFmtId="2" fontId="54" fillId="0" borderId="6" xfId="0" applyNumberFormat="1" applyFont="1" applyFill="1" applyBorder="1" applyAlignment="1">
      <alignment horizontal="center" wrapText="1"/>
    </xf>
    <xf numFmtId="0" fontId="52" fillId="0" borderId="6" xfId="0" applyFont="1" applyFill="1" applyBorder="1" applyAlignment="1">
      <alignment horizontal="center" wrapText="1"/>
    </xf>
    <xf numFmtId="4" fontId="26" fillId="0" borderId="6" xfId="0" applyNumberFormat="1" applyFont="1" applyFill="1" applyBorder="1" applyAlignment="1">
      <alignment horizontal="center" vertical="center" wrapText="1"/>
    </xf>
    <xf numFmtId="4" fontId="52" fillId="0" borderId="6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0" fontId="1" fillId="3" borderId="35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18" fillId="0" borderId="0" xfId="0" applyFont="1" applyBorder="1" applyAlignment="1">
      <alignment horizontal="center" vertical="center"/>
    </xf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left" vertical="center" wrapText="1"/>
    </xf>
    <xf numFmtId="0" fontId="1" fillId="3" borderId="47" xfId="0" applyFont="1" applyFill="1" applyBorder="1" applyAlignment="1">
      <alignment horizontal="left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left" vertical="center" wrapText="1"/>
    </xf>
    <xf numFmtId="0" fontId="1" fillId="3" borderId="49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50" xfId="0" applyNumberFormat="1" applyFont="1" applyFill="1" applyBorder="1" applyAlignment="1">
      <alignment horizontal="center" vertical="center" wrapText="1"/>
    </xf>
    <xf numFmtId="0" fontId="21" fillId="0" borderId="51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119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</cellXfs>
  <cellStyles count="2337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INDEX.STATION.2012(v1.0)_" xfId="31"/>
    <cellStyle name="_Model_RAB Мой_46EE.2011(v1.0)_INDEX.STATION.2012(v2.0)" xfId="32"/>
    <cellStyle name="_Model_RAB Мой_ARMRAZR" xfId="33"/>
    <cellStyle name="_Model_RAB Мой_BALANCE.WARM.2011YEAR.NEW.UPDATE.SCHEME" xfId="34"/>
    <cellStyle name="_Model_RAB Мой_EE.2REK.P2011.4.78(v0.3)" xfId="35"/>
    <cellStyle name="_Model_RAB Мой_INVEST.EE.PLAN.4.78(v0.1)" xfId="36"/>
    <cellStyle name="_Model_RAB Мой_INVEST.EE.PLAN.4.78(v0.3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INDEX.STATION.2012(v1.0)_" xfId="42"/>
    <cellStyle name="_Model_RAB Мой_NADB.JNVLS.APTEKA.2011(v1.3.3)_INDEX.STATION.2012(v2.0)" xfId="43"/>
    <cellStyle name="_Model_RAB Мой_NADB.JNVLS.APTEKA.2011(v1.3.4)" xfId="44"/>
    <cellStyle name="_Model_RAB Мой_NADB.JNVLS.APTEKA.2011(v1.3.4)_INDEX.STATION.2012(v1.0)_" xfId="45"/>
    <cellStyle name="_Model_RAB Мой_NADB.JNVLS.APTEKA.2011(v1.3.4)_INDEX.STATION.2012(v2.0)" xfId="46"/>
    <cellStyle name="_Model_RAB Мой_PR.PROG.WARM.NOTCOMBI.2012.2.16_v1.4(04.04.11) " xfId="47"/>
    <cellStyle name="_Model_RAB Мой_PREDEL.JKH.UTV.2011(v1.0.1)" xfId="48"/>
    <cellStyle name="_Model_RAB Мой_PREDEL.JKH.UTV.2011(v1.0.1)_INDEX.STATION.2012(v1.0)_" xfId="49"/>
    <cellStyle name="_Model_RAB Мой_PREDEL.JKH.UTV.2011(v1.0.1)_INDEX.STATION.2012(v2.0)" xfId="50"/>
    <cellStyle name="_Model_RAB Мой_TEST.TEMPLATE" xfId="51"/>
    <cellStyle name="_Model_RAB Мой_UPDATE.46EE.2011.TO.1.1" xfId="52"/>
    <cellStyle name="_Model_RAB Мой_UPDATE.BALANCE.WARM.2011YEAR.TO.1.1" xfId="53"/>
    <cellStyle name="_Model_RAB Мой_UPDATE.BALANCE.WARM.2011YEAR.TO.1.1_INDEX.STATION.2012(v1.0)_" xfId="54"/>
    <cellStyle name="_Model_RAB Мой_UPDATE.BALANCE.WARM.2011YEAR.TO.1.1_INDEX.STATION.2012(v2.0)" xfId="55"/>
    <cellStyle name="_Model_RAB Мой_UPDATE.BALANCE.WARM.2011YEAR.TO.1.1_OREP.KU.2011.MONTHLY.02(v1.1)" xfId="56"/>
    <cellStyle name="_Model_RAB Мой_UPDATE.JKH.OPEN.INFO.TARIFF.HVS.TO.4.3.64" xfId="57"/>
    <cellStyle name="_Model_RAB Мой_Книга2_PR.PROG.WARM.NOTCOMBI.2012.2.16_v1.4(04.04.11) " xfId="58"/>
    <cellStyle name="_Model_RAB_MRSK_svod" xfId="59"/>
    <cellStyle name="_Model_RAB_MRSK_svod 2" xfId="60"/>
    <cellStyle name="_Model_RAB_MRSK_svod 2_OREP.KU.2011.MONTHLY.02(v0.1)" xfId="61"/>
    <cellStyle name="_Model_RAB_MRSK_svod 2_OREP.KU.2011.MONTHLY.02(v0.4)" xfId="62"/>
    <cellStyle name="_Model_RAB_MRSK_svod 2_OREP.KU.2011.MONTHLY.11(v1.4)" xfId="63"/>
    <cellStyle name="_Model_RAB_MRSK_svod 2_UPDATE.OREP.KU.2011.MONTHLY.02.TO.1.2" xfId="64"/>
    <cellStyle name="_Model_RAB_MRSK_svod_46EE.2011(v1.0)" xfId="65"/>
    <cellStyle name="_Model_RAB_MRSK_svod_46EE.2011(v1.0)_INDEX.STATION.2012(v1.0)_" xfId="66"/>
    <cellStyle name="_Model_RAB_MRSK_svod_46EE.2011(v1.0)_INDEX.STATION.2012(v2.0)" xfId="67"/>
    <cellStyle name="_Model_RAB_MRSK_svod_ARMRAZR" xfId="68"/>
    <cellStyle name="_Model_RAB_MRSK_svod_BALANCE.WARM.2011YEAR.NEW.UPDATE.SCHEME" xfId="69"/>
    <cellStyle name="_Model_RAB_MRSK_svod_EE.2REK.P2011.4.78(v0.3)" xfId="70"/>
    <cellStyle name="_Model_RAB_MRSK_svod_INVEST.EE.PLAN.4.78(v0.1)" xfId="71"/>
    <cellStyle name="_Model_RAB_MRSK_svod_INVEST.EE.PLAN.4.78(v0.3)" xfId="72"/>
    <cellStyle name="_Model_RAB_MRSK_svod_INVEST.PLAN.4.78(v0.1)" xfId="73"/>
    <cellStyle name="_Model_RAB_MRSK_svod_INVEST.WARM.PLAN.4.78(v0.1)" xfId="74"/>
    <cellStyle name="_Model_RAB_MRSK_svod_INVEST_WARM_PLAN" xfId="75"/>
    <cellStyle name="_Model_RAB_MRSK_svod_NADB.JNVLS.APTEKA.2011(v1.3.3)" xfId="76"/>
    <cellStyle name="_Model_RAB_MRSK_svod_NADB.JNVLS.APTEKA.2011(v1.3.3)_INDEX.STATION.2012(v1.0)_" xfId="77"/>
    <cellStyle name="_Model_RAB_MRSK_svod_NADB.JNVLS.APTEKA.2011(v1.3.3)_INDEX.STATION.2012(v2.0)" xfId="78"/>
    <cellStyle name="_Model_RAB_MRSK_svod_NADB.JNVLS.APTEKA.2011(v1.3.4)" xfId="79"/>
    <cellStyle name="_Model_RAB_MRSK_svod_NADB.JNVLS.APTEKA.2011(v1.3.4)_INDEX.STATION.2012(v1.0)_" xfId="80"/>
    <cellStyle name="_Model_RAB_MRSK_svod_NADB.JNVLS.APTEKA.2011(v1.3.4)_INDEX.STATION.2012(v2.0)" xfId="81"/>
    <cellStyle name="_Model_RAB_MRSK_svod_PR.PROG.WARM.NOTCOMBI.2012.2.16_v1.4(04.04.11) " xfId="82"/>
    <cellStyle name="_Model_RAB_MRSK_svod_PREDEL.JKH.UTV.2011(v1.0.1)" xfId="83"/>
    <cellStyle name="_Model_RAB_MRSK_svod_PREDEL.JKH.UTV.2011(v1.0.1)_INDEX.STATION.2012(v1.0)_" xfId="84"/>
    <cellStyle name="_Model_RAB_MRSK_svod_PREDEL.JKH.UTV.2011(v1.0.1)_INDEX.STATION.2012(v2.0)" xfId="85"/>
    <cellStyle name="_Model_RAB_MRSK_svod_TEST.TEMPLATE" xfId="86"/>
    <cellStyle name="_Model_RAB_MRSK_svod_UPDATE.46EE.2011.TO.1.1" xfId="87"/>
    <cellStyle name="_Model_RAB_MRSK_svod_UPDATE.BALANCE.WARM.2011YEAR.TO.1.1" xfId="88"/>
    <cellStyle name="_Model_RAB_MRSK_svod_UPDATE.BALANCE.WARM.2011YEAR.TO.1.1_INDEX.STATION.2012(v1.0)_" xfId="89"/>
    <cellStyle name="_Model_RAB_MRSK_svod_UPDATE.BALANCE.WARM.2011YEAR.TO.1.1_INDEX.STATION.2012(v2.0)" xfId="90"/>
    <cellStyle name="_Model_RAB_MRSK_svod_UPDATE.BALANCE.WARM.2011YEAR.TO.1.1_OREP.KU.2011.MONTHLY.02(v1.1)" xfId="91"/>
    <cellStyle name="_Model_RAB_MRSK_svod_UPDATE.JKH.OPEN.INFO.TARIFF.HVS.TO.4.3.64" xfId="92"/>
    <cellStyle name="_Model_RAB_MRSK_svod_Книга2_PR.PROG.WARM.NOTCOMBI.2012.2.16_v1.4(04.04.11) " xfId="93"/>
    <cellStyle name="_Plug" xfId="94"/>
    <cellStyle name="_Plug_UPDATE.JKH.OPEN.INFO.TARIFF.HVS.TO.4.3.64" xfId="95"/>
    <cellStyle name="_Бюджет2006_ПОКАЗАТЕЛИ СВОДНЫЕ" xfId="96"/>
    <cellStyle name="_ВО ОП ТЭС-ОТ- 2007" xfId="97"/>
    <cellStyle name="_ВФ ОАО ТЭС-ОТ- 2009" xfId="98"/>
    <cellStyle name="_выручка по присоединениям2" xfId="99"/>
    <cellStyle name="_Договор аренды ЯЭ с разбивкой" xfId="100"/>
    <cellStyle name="_Защита ФЗП" xfId="101"/>
    <cellStyle name="_Исходные данные для модели" xfId="102"/>
    <cellStyle name="_Консолидация-2008-проект-new" xfId="103"/>
    <cellStyle name="_МОДЕЛЬ_1 (2)" xfId="104"/>
    <cellStyle name="_МОДЕЛЬ_1 (2) 2" xfId="105"/>
    <cellStyle name="_МОДЕЛЬ_1 (2) 2_OREP.KU.2011.MONTHLY.02(v0.1)" xfId="106"/>
    <cellStyle name="_МОДЕЛЬ_1 (2) 2_OREP.KU.2011.MONTHLY.02(v0.4)" xfId="107"/>
    <cellStyle name="_МОДЕЛЬ_1 (2) 2_OREP.KU.2011.MONTHLY.11(v1.4)" xfId="108"/>
    <cellStyle name="_МОДЕЛЬ_1 (2) 2_UPDATE.OREP.KU.2011.MONTHLY.02.TO.1.2" xfId="109"/>
    <cellStyle name="_МОДЕЛЬ_1 (2)_46EE.2011(v1.0)" xfId="110"/>
    <cellStyle name="_МОДЕЛЬ_1 (2)_46EE.2011(v1.0)_INDEX.STATION.2012(v1.0)_" xfId="111"/>
    <cellStyle name="_МОДЕЛЬ_1 (2)_46EE.2011(v1.0)_INDEX.STATION.2012(v2.0)" xfId="112"/>
    <cellStyle name="_МОДЕЛЬ_1 (2)_ARMRAZR" xfId="113"/>
    <cellStyle name="_МОДЕЛЬ_1 (2)_BALANCE.WARM.2011YEAR.NEW.UPDATE.SCHEME" xfId="114"/>
    <cellStyle name="_МОДЕЛЬ_1 (2)_EE.2REK.P2011.4.78(v0.3)" xfId="115"/>
    <cellStyle name="_МОДЕЛЬ_1 (2)_INVEST.EE.PLAN.4.78(v0.1)" xfId="116"/>
    <cellStyle name="_МОДЕЛЬ_1 (2)_INVEST.EE.PLAN.4.78(v0.3)" xfId="117"/>
    <cellStyle name="_МОДЕЛЬ_1 (2)_INVEST.PLAN.4.78(v0.1)" xfId="118"/>
    <cellStyle name="_МОДЕЛЬ_1 (2)_INVEST.WARM.PLAN.4.78(v0.1)" xfId="119"/>
    <cellStyle name="_МОДЕЛЬ_1 (2)_INVEST_WARM_PLAN" xfId="120"/>
    <cellStyle name="_МОДЕЛЬ_1 (2)_NADB.JNVLS.APTEKA.2011(v1.3.3)" xfId="121"/>
    <cellStyle name="_МОДЕЛЬ_1 (2)_NADB.JNVLS.APTEKA.2011(v1.3.3)_INDEX.STATION.2012(v1.0)_" xfId="122"/>
    <cellStyle name="_МОДЕЛЬ_1 (2)_NADB.JNVLS.APTEKA.2011(v1.3.3)_INDEX.STATION.2012(v2.0)" xfId="123"/>
    <cellStyle name="_МОДЕЛЬ_1 (2)_NADB.JNVLS.APTEKA.2011(v1.3.4)" xfId="124"/>
    <cellStyle name="_МОДЕЛЬ_1 (2)_NADB.JNVLS.APTEKA.2011(v1.3.4)_INDEX.STATION.2012(v1.0)_" xfId="125"/>
    <cellStyle name="_МОДЕЛЬ_1 (2)_NADB.JNVLS.APTEKA.2011(v1.3.4)_INDEX.STATION.2012(v2.0)" xfId="126"/>
    <cellStyle name="_МОДЕЛЬ_1 (2)_PR.PROG.WARM.NOTCOMBI.2012.2.16_v1.4(04.04.11) " xfId="127"/>
    <cellStyle name="_МОДЕЛЬ_1 (2)_PREDEL.JKH.UTV.2011(v1.0.1)" xfId="128"/>
    <cellStyle name="_МОДЕЛЬ_1 (2)_PREDEL.JKH.UTV.2011(v1.0.1)_INDEX.STATION.2012(v1.0)_" xfId="129"/>
    <cellStyle name="_МОДЕЛЬ_1 (2)_PREDEL.JKH.UTV.2011(v1.0.1)_INDEX.STATION.2012(v2.0)" xfId="130"/>
    <cellStyle name="_МОДЕЛЬ_1 (2)_TEST.TEMPLATE" xfId="131"/>
    <cellStyle name="_МОДЕЛЬ_1 (2)_UPDATE.46EE.2011.TO.1.1" xfId="132"/>
    <cellStyle name="_МОДЕЛЬ_1 (2)_UPDATE.BALANCE.WARM.2011YEAR.TO.1.1" xfId="133"/>
    <cellStyle name="_МОДЕЛЬ_1 (2)_UPDATE.BALANCE.WARM.2011YEAR.TO.1.1_INDEX.STATION.2012(v1.0)_" xfId="134"/>
    <cellStyle name="_МОДЕЛЬ_1 (2)_UPDATE.BALANCE.WARM.2011YEAR.TO.1.1_INDEX.STATION.2012(v2.0)" xfId="135"/>
    <cellStyle name="_МОДЕЛЬ_1 (2)_UPDATE.BALANCE.WARM.2011YEAR.TO.1.1_OREP.KU.2011.MONTHLY.02(v1.1)" xfId="136"/>
    <cellStyle name="_МОДЕЛЬ_1 (2)_UPDATE.JKH.OPEN.INFO.TARIFF.HVS.TO.4.3.64" xfId="137"/>
    <cellStyle name="_МОДЕЛЬ_1 (2)_Книга2_PR.PROG.WARM.NOTCOMBI.2012.2.16_v1.4(04.04.11) " xfId="138"/>
    <cellStyle name="_НВВ 2009 постатейно свод по филиалам_09_02_09" xfId="139"/>
    <cellStyle name="_НВВ 2009 постатейно свод по филиалам_для Валентина" xfId="140"/>
    <cellStyle name="_Омск" xfId="141"/>
    <cellStyle name="_ОТ ИД 2009" xfId="142"/>
    <cellStyle name="_пр 5 тариф RAB" xfId="143"/>
    <cellStyle name="_пр 5 тариф RAB 2" xfId="144"/>
    <cellStyle name="_пр 5 тариф RAB 2_OREP.KU.2011.MONTHLY.02(v0.1)" xfId="145"/>
    <cellStyle name="_пр 5 тариф RAB 2_OREP.KU.2011.MONTHLY.02(v0.4)" xfId="146"/>
    <cellStyle name="_пр 5 тариф RAB 2_OREP.KU.2011.MONTHLY.11(v1.4)" xfId="147"/>
    <cellStyle name="_пр 5 тариф RAB 2_UPDATE.OREP.KU.2011.MONTHLY.02.TO.1.2" xfId="148"/>
    <cellStyle name="_пр 5 тариф RAB_46EE.2011(v1.0)" xfId="149"/>
    <cellStyle name="_пр 5 тариф RAB_46EE.2011(v1.0)_INDEX.STATION.2012(v1.0)_" xfId="150"/>
    <cellStyle name="_пр 5 тариф RAB_46EE.2011(v1.0)_INDEX.STATION.2012(v2.0)" xfId="151"/>
    <cellStyle name="_пр 5 тариф RAB_ARMRAZR" xfId="152"/>
    <cellStyle name="_пр 5 тариф RAB_BALANCE.WARM.2011YEAR.NEW.UPDATE.SCHEME" xfId="153"/>
    <cellStyle name="_пр 5 тариф RAB_EE.2REK.P2011.4.78(v0.3)" xfId="154"/>
    <cellStyle name="_пр 5 тариф RAB_INVEST.EE.PLAN.4.78(v0.1)" xfId="155"/>
    <cellStyle name="_пр 5 тариф RAB_INVEST.EE.PLAN.4.78(v0.3)" xfId="156"/>
    <cellStyle name="_пр 5 тариф RAB_INVEST.PLAN.4.78(v0.1)" xfId="157"/>
    <cellStyle name="_пр 5 тариф RAB_INVEST.WARM.PLAN.4.78(v0.1)" xfId="158"/>
    <cellStyle name="_пр 5 тариф RAB_INVEST_WARM_PLAN" xfId="159"/>
    <cellStyle name="_пр 5 тариф RAB_NADB.JNVLS.APTEKA.2011(v1.3.3)" xfId="160"/>
    <cellStyle name="_пр 5 тариф RAB_NADB.JNVLS.APTEKA.2011(v1.3.3)_INDEX.STATION.2012(v1.0)_" xfId="161"/>
    <cellStyle name="_пр 5 тариф RAB_NADB.JNVLS.APTEKA.2011(v1.3.3)_INDEX.STATION.2012(v2.0)" xfId="162"/>
    <cellStyle name="_пр 5 тариф RAB_NADB.JNVLS.APTEKA.2011(v1.3.4)" xfId="163"/>
    <cellStyle name="_пр 5 тариф RAB_NADB.JNVLS.APTEKA.2011(v1.3.4)_INDEX.STATION.2012(v1.0)_" xfId="164"/>
    <cellStyle name="_пр 5 тариф RAB_NADB.JNVLS.APTEKA.2011(v1.3.4)_INDEX.STATION.2012(v2.0)" xfId="165"/>
    <cellStyle name="_пр 5 тариф RAB_PR.PROG.WARM.NOTCOMBI.2012.2.16_v1.4(04.04.11) " xfId="166"/>
    <cellStyle name="_пр 5 тариф RAB_PREDEL.JKH.UTV.2011(v1.0.1)" xfId="167"/>
    <cellStyle name="_пр 5 тариф RAB_PREDEL.JKH.UTV.2011(v1.0.1)_INDEX.STATION.2012(v1.0)_" xfId="168"/>
    <cellStyle name="_пр 5 тариф RAB_PREDEL.JKH.UTV.2011(v1.0.1)_INDEX.STATION.2012(v2.0)" xfId="169"/>
    <cellStyle name="_пр 5 тариф RAB_TEST.TEMPLATE" xfId="170"/>
    <cellStyle name="_пр 5 тариф RAB_UPDATE.46EE.2011.TO.1.1" xfId="171"/>
    <cellStyle name="_пр 5 тариф RAB_UPDATE.BALANCE.WARM.2011YEAR.TO.1.1" xfId="172"/>
    <cellStyle name="_пр 5 тариф RAB_UPDATE.BALANCE.WARM.2011YEAR.TO.1.1_INDEX.STATION.2012(v1.0)_" xfId="173"/>
    <cellStyle name="_пр 5 тариф RAB_UPDATE.BALANCE.WARM.2011YEAR.TO.1.1_INDEX.STATION.2012(v2.0)" xfId="174"/>
    <cellStyle name="_пр 5 тариф RAB_UPDATE.BALANCE.WARM.2011YEAR.TO.1.1_OREP.KU.2011.MONTHLY.02(v1.1)" xfId="175"/>
    <cellStyle name="_пр 5 тариф RAB_UPDATE.JKH.OPEN.INFO.TARIFF.HVS.TO.4.3.64" xfId="176"/>
    <cellStyle name="_пр 5 тариф RAB_Книга2_PR.PROG.WARM.NOTCOMBI.2012.2.16_v1.4(04.04.11) " xfId="177"/>
    <cellStyle name="_Предожение _ДБП_2009 г ( согласованные БП)  (2)" xfId="178"/>
    <cellStyle name="_Приложение 2 0806 факт" xfId="179"/>
    <cellStyle name="_Приложение МТС-3-КС" xfId="180"/>
    <cellStyle name="_Приложение-МТС--2-1" xfId="181"/>
    <cellStyle name="_Расчет RAB_22072008" xfId="182"/>
    <cellStyle name="_Расчет RAB_22072008 2" xfId="183"/>
    <cellStyle name="_Расчет RAB_22072008 2_OREP.KU.2011.MONTHLY.02(v0.1)" xfId="184"/>
    <cellStyle name="_Расчет RAB_22072008 2_OREP.KU.2011.MONTHLY.02(v0.4)" xfId="185"/>
    <cellStyle name="_Расчет RAB_22072008 2_OREP.KU.2011.MONTHLY.11(v1.4)" xfId="186"/>
    <cellStyle name="_Расчет RAB_22072008 2_UPDATE.OREP.KU.2011.MONTHLY.02.TO.1.2" xfId="187"/>
    <cellStyle name="_Расчет RAB_22072008_46EE.2011(v1.0)" xfId="188"/>
    <cellStyle name="_Расчет RAB_22072008_46EE.2011(v1.0)_INDEX.STATION.2012(v1.0)_" xfId="189"/>
    <cellStyle name="_Расчет RAB_22072008_46EE.2011(v1.0)_INDEX.STATION.2012(v2.0)" xfId="190"/>
    <cellStyle name="_Расчет RAB_22072008_ARMRAZR" xfId="191"/>
    <cellStyle name="_Расчет RAB_22072008_BALANCE.WARM.2011YEAR.NEW.UPDATE.SCHEME" xfId="192"/>
    <cellStyle name="_Расчет RAB_22072008_EE.2REK.P2011.4.78(v0.3)" xfId="193"/>
    <cellStyle name="_Расчет RAB_22072008_INVEST.EE.PLAN.4.78(v0.1)" xfId="194"/>
    <cellStyle name="_Расчет RAB_22072008_INVEST.EE.PLAN.4.78(v0.3)" xfId="195"/>
    <cellStyle name="_Расчет RAB_22072008_INVEST.PLAN.4.78(v0.1)" xfId="196"/>
    <cellStyle name="_Расчет RAB_22072008_INVEST.WARM.PLAN.4.78(v0.1)" xfId="197"/>
    <cellStyle name="_Расчет RAB_22072008_INVEST_WARM_PLAN" xfId="198"/>
    <cellStyle name="_Расчет RAB_22072008_NADB.JNVLS.APTEKA.2011(v1.3.3)" xfId="199"/>
    <cellStyle name="_Расчет RAB_22072008_NADB.JNVLS.APTEKA.2011(v1.3.3)_INDEX.STATION.2012(v1.0)_" xfId="200"/>
    <cellStyle name="_Расчет RAB_22072008_NADB.JNVLS.APTEKA.2011(v1.3.3)_INDEX.STATION.2012(v2.0)" xfId="201"/>
    <cellStyle name="_Расчет RAB_22072008_NADB.JNVLS.APTEKA.2011(v1.3.4)" xfId="202"/>
    <cellStyle name="_Расчет RAB_22072008_NADB.JNVLS.APTEKA.2011(v1.3.4)_INDEX.STATION.2012(v1.0)_" xfId="203"/>
    <cellStyle name="_Расчет RAB_22072008_NADB.JNVLS.APTEKA.2011(v1.3.4)_INDEX.STATION.2012(v2.0)" xfId="204"/>
    <cellStyle name="_Расчет RAB_22072008_PR.PROG.WARM.NOTCOMBI.2012.2.16_v1.4(04.04.11) " xfId="205"/>
    <cellStyle name="_Расчет RAB_22072008_PREDEL.JKH.UTV.2011(v1.0.1)" xfId="206"/>
    <cellStyle name="_Расчет RAB_22072008_PREDEL.JKH.UTV.2011(v1.0.1)_INDEX.STATION.2012(v1.0)_" xfId="207"/>
    <cellStyle name="_Расчет RAB_22072008_PREDEL.JKH.UTV.2011(v1.0.1)_INDEX.STATION.2012(v2.0)" xfId="208"/>
    <cellStyle name="_Расчет RAB_22072008_TEST.TEMPLATE" xfId="209"/>
    <cellStyle name="_Расчет RAB_22072008_UPDATE.46EE.2011.TO.1.1" xfId="210"/>
    <cellStyle name="_Расчет RAB_22072008_UPDATE.BALANCE.WARM.2011YEAR.TO.1.1" xfId="211"/>
    <cellStyle name="_Расчет RAB_22072008_UPDATE.BALANCE.WARM.2011YEAR.TO.1.1_INDEX.STATION.2012(v1.0)_" xfId="212"/>
    <cellStyle name="_Расчет RAB_22072008_UPDATE.BALANCE.WARM.2011YEAR.TO.1.1_INDEX.STATION.2012(v2.0)" xfId="213"/>
    <cellStyle name="_Расчет RAB_22072008_UPDATE.BALANCE.WARM.2011YEAR.TO.1.1_OREP.KU.2011.MONTHLY.02(v1.1)" xfId="214"/>
    <cellStyle name="_Расчет RAB_22072008_UPDATE.JKH.OPEN.INFO.TARIFF.HVS.TO.4.3.64" xfId="215"/>
    <cellStyle name="_Расчет RAB_22072008_Книга2_PR.PROG.WARM.NOTCOMBI.2012.2.16_v1.4(04.04.11) " xfId="216"/>
    <cellStyle name="_Расчет RAB_Лен и МОЭСК_с 2010 года_14.04.2009_со сглаж_version 3.0_без ФСК" xfId="217"/>
    <cellStyle name="_Расчет RAB_Лен и МОЭСК_с 2010 года_14.04.2009_со сглаж_version 3.0_без ФСК 2" xfId="218"/>
    <cellStyle name="_Расчет RAB_Лен и МОЭСК_с 2010 года_14.04.2009_со сглаж_version 3.0_без ФСК 2_OREP.KU.2011.MONTHLY.02(v0.1)" xfId="219"/>
    <cellStyle name="_Расчет RAB_Лен и МОЭСК_с 2010 года_14.04.2009_со сглаж_version 3.0_без ФСК 2_OREP.KU.2011.MONTHLY.02(v0.4)" xfId="220"/>
    <cellStyle name="_Расчет RAB_Лен и МОЭСК_с 2010 года_14.04.2009_со сглаж_version 3.0_без ФСК 2_OREP.KU.2011.MONTHLY.11(v1.4)" xfId="221"/>
    <cellStyle name="_Расчет RAB_Лен и МОЭСК_с 2010 года_14.04.2009_со сглаж_version 3.0_без ФСК 2_UPDATE.OREP.KU.2011.MONTHLY.02.TO.1.2" xfId="222"/>
    <cellStyle name="_Расчет RAB_Лен и МОЭСК_с 2010 года_14.04.2009_со сглаж_version 3.0_без ФСК_46EE.2011(v1.0)" xfId="223"/>
    <cellStyle name="_Расчет RAB_Лен и МОЭСК_с 2010 года_14.04.2009_со сглаж_version 3.0_без ФСК_46EE.2011(v1.0)_INDEX.STATION.2012(v1.0)_" xfId="224"/>
    <cellStyle name="_Расчет RAB_Лен и МОЭСК_с 2010 года_14.04.2009_со сглаж_version 3.0_без ФСК_46EE.2011(v1.0)_INDEX.STATION.2012(v2.0)" xfId="225"/>
    <cellStyle name="_Расчет RAB_Лен и МОЭСК_с 2010 года_14.04.2009_со сглаж_version 3.0_без ФСК_ARMRAZR" xfId="226"/>
    <cellStyle name="_Расчет RAB_Лен и МОЭСК_с 2010 года_14.04.2009_со сглаж_version 3.0_без ФСК_BALANCE.WARM.2011YEAR.NEW.UPDATE.SCHEME" xfId="227"/>
    <cellStyle name="_Расчет RAB_Лен и МОЭСК_с 2010 года_14.04.2009_со сглаж_version 3.0_без ФСК_EE.2REK.P2011.4.78(v0.3)" xfId="228"/>
    <cellStyle name="_Расчет RAB_Лен и МОЭСК_с 2010 года_14.04.2009_со сглаж_version 3.0_без ФСК_INVEST.EE.PLAN.4.78(v0.1)" xfId="229"/>
    <cellStyle name="_Расчет RAB_Лен и МОЭСК_с 2010 года_14.04.2009_со сглаж_version 3.0_без ФСК_INVEST.EE.PLAN.4.78(v0.3)" xfId="230"/>
    <cellStyle name="_Расчет RAB_Лен и МОЭСК_с 2010 года_14.04.2009_со сглаж_version 3.0_без ФСК_INVEST.PLAN.4.78(v0.1)" xfId="231"/>
    <cellStyle name="_Расчет RAB_Лен и МОЭСК_с 2010 года_14.04.2009_со сглаж_version 3.0_без ФСК_INVEST.WARM.PLAN.4.78(v0.1)" xfId="232"/>
    <cellStyle name="_Расчет RAB_Лен и МОЭСК_с 2010 года_14.04.2009_со сглаж_version 3.0_без ФСК_INVEST_WARM_PLAN" xfId="233"/>
    <cellStyle name="_Расчет RAB_Лен и МОЭСК_с 2010 года_14.04.2009_со сглаж_version 3.0_без ФСК_NADB.JNVLS.APTEKA.2011(v1.3.3)" xfId="234"/>
    <cellStyle name="_Расчет RAB_Лен и МОЭСК_с 2010 года_14.04.2009_со сглаж_version 3.0_без ФСК_NADB.JNVLS.APTEKA.2011(v1.3.3)_INDEX.STATION.2012(v1.0)_" xfId="235"/>
    <cellStyle name="_Расчет RAB_Лен и МОЭСК_с 2010 года_14.04.2009_со сглаж_version 3.0_без ФСК_NADB.JNVLS.APTEKA.2011(v1.3.3)_INDEX.STATION.2012(v2.0)" xfId="236"/>
    <cellStyle name="_Расчет RAB_Лен и МОЭСК_с 2010 года_14.04.2009_со сглаж_version 3.0_без ФСК_NADB.JNVLS.APTEKA.2011(v1.3.4)" xfId="237"/>
    <cellStyle name="_Расчет RAB_Лен и МОЭСК_с 2010 года_14.04.2009_со сглаж_version 3.0_без ФСК_NADB.JNVLS.APTEKA.2011(v1.3.4)_INDEX.STATION.2012(v1.0)_" xfId="238"/>
    <cellStyle name="_Расчет RAB_Лен и МОЭСК_с 2010 года_14.04.2009_со сглаж_version 3.0_без ФСК_NADB.JNVLS.APTEKA.2011(v1.3.4)_INDEX.STATION.2012(v2.0)" xfId="239"/>
    <cellStyle name="_Расчет RAB_Лен и МОЭСК_с 2010 года_14.04.2009_со сглаж_version 3.0_без ФСК_PR.PROG.WARM.NOTCOMBI.2012.2.16_v1.4(04.04.11) " xfId="240"/>
    <cellStyle name="_Расчет RAB_Лен и МОЭСК_с 2010 года_14.04.2009_со сглаж_version 3.0_без ФСК_PREDEL.JKH.UTV.2011(v1.0.1)" xfId="241"/>
    <cellStyle name="_Расчет RAB_Лен и МОЭСК_с 2010 года_14.04.2009_со сглаж_version 3.0_без ФСК_PREDEL.JKH.UTV.2011(v1.0.1)_INDEX.STATION.2012(v1.0)_" xfId="242"/>
    <cellStyle name="_Расчет RAB_Лен и МОЭСК_с 2010 года_14.04.2009_со сглаж_version 3.0_без ФСК_PREDEL.JKH.UTV.2011(v1.0.1)_INDEX.STATION.2012(v2.0)" xfId="243"/>
    <cellStyle name="_Расчет RAB_Лен и МОЭСК_с 2010 года_14.04.2009_со сглаж_version 3.0_без ФСК_TEST.TEMPLATE" xfId="244"/>
    <cellStyle name="_Расчет RAB_Лен и МОЭСК_с 2010 года_14.04.2009_со сглаж_version 3.0_без ФСК_UPDATE.46EE.2011.TO.1.1" xfId="245"/>
    <cellStyle name="_Расчет RAB_Лен и МОЭСК_с 2010 года_14.04.2009_со сглаж_version 3.0_без ФСК_UPDATE.BALANCE.WARM.2011YEAR.TO.1.1" xfId="246"/>
    <cellStyle name="_Расчет RAB_Лен и МОЭСК_с 2010 года_14.04.2009_со сглаж_version 3.0_без ФСК_UPDATE.BALANCE.WARM.2011YEAR.TO.1.1_INDEX.STATION.2012(v1.0)_" xfId="247"/>
    <cellStyle name="_Расчет RAB_Лен и МОЭСК_с 2010 года_14.04.2009_со сглаж_version 3.0_без ФСК_UPDATE.BALANCE.WARM.2011YEAR.TO.1.1_INDEX.STATION.2012(v2.0)" xfId="248"/>
    <cellStyle name="_Расчет RAB_Лен и МОЭСК_с 2010 года_14.04.2009_со сглаж_version 3.0_без ФСК_UPDATE.BALANCE.WARM.2011YEAR.TO.1.1_OREP.KU.2011.MONTHLY.02(v1.1)" xfId="249"/>
    <cellStyle name="_Расчет RAB_Лен и МОЭСК_с 2010 года_14.04.2009_со сглаж_version 3.0_без ФСК_UPDATE.JKH.OPEN.INFO.TARIFF.HVS.TO.4.3.64" xfId="250"/>
    <cellStyle name="_Расчет RAB_Лен и МОЭСК_с 2010 года_14.04.2009_со сглаж_version 3.0_без ФСК_Книга2_PR.PROG.WARM.NOTCOMBI.2012.2.16_v1.4(04.04.11) " xfId="251"/>
    <cellStyle name="_Свод по ИПР (2)" xfId="252"/>
    <cellStyle name="_Справочник затрат_ЛХ_20.10.05" xfId="253"/>
    <cellStyle name="_таблицы для расчетов28-04-08_2006-2009_прибыль корр_по ИА" xfId="254"/>
    <cellStyle name="_таблицы для расчетов28-04-08_2006-2009с ИА" xfId="255"/>
    <cellStyle name="_Форма 6  РТК.xls(отчет по Адр пр. ЛО)" xfId="256"/>
    <cellStyle name="_Формат разбивки по МРСК_РСК" xfId="257"/>
    <cellStyle name="_Формат_для Согласования" xfId="258"/>
    <cellStyle name="_ХХХ Прил 2 Формы бюджетных документов 2007" xfId="259"/>
    <cellStyle name="_экон.форм-т ВО 1 с разбивкой" xfId="260"/>
    <cellStyle name="’К‰Э [0.00]" xfId="261"/>
    <cellStyle name="”€ќђќ‘ћ‚›‰" xfId="262"/>
    <cellStyle name="”€љ‘€ђћ‚ђќќ›‰" xfId="263"/>
    <cellStyle name="”ќђќ‘ћ‚›‰" xfId="264"/>
    <cellStyle name="”љ‘ђћ‚ђќќ›‰" xfId="265"/>
    <cellStyle name="„…ќ…†ќ›‰" xfId="266"/>
    <cellStyle name="€’ћѓћ‚›‰" xfId="267"/>
    <cellStyle name="‡ђѓћ‹ћ‚ћљ1" xfId="268"/>
    <cellStyle name="‡ђѓћ‹ћ‚ћљ2" xfId="269"/>
    <cellStyle name="’ћѓћ‚›‰" xfId="270"/>
    <cellStyle name="1Normal" xfId="271"/>
    <cellStyle name="20% - Accent1" xfId="272"/>
    <cellStyle name="20% - Accent1 2" xfId="273"/>
    <cellStyle name="20% - Accent1 2 2" xfId="274"/>
    <cellStyle name="20% - Accent1 3" xfId="275"/>
    <cellStyle name="20% - Accent1_46EE.2011(v1.0)" xfId="276"/>
    <cellStyle name="20% - Accent2" xfId="277"/>
    <cellStyle name="20% - Accent2 2" xfId="278"/>
    <cellStyle name="20% - Accent2 2 2" xfId="279"/>
    <cellStyle name="20% - Accent2 3" xfId="280"/>
    <cellStyle name="20% - Accent2_46EE.2011(v1.0)" xfId="281"/>
    <cellStyle name="20% - Accent3" xfId="282"/>
    <cellStyle name="20% - Accent3 2" xfId="283"/>
    <cellStyle name="20% - Accent3 2 2" xfId="284"/>
    <cellStyle name="20% - Accent3 3" xfId="285"/>
    <cellStyle name="20% - Accent3_46EE.2011(v1.0)" xfId="286"/>
    <cellStyle name="20% - Accent4" xfId="287"/>
    <cellStyle name="20% - Accent4 2" xfId="288"/>
    <cellStyle name="20% - Accent4 2 2" xfId="289"/>
    <cellStyle name="20% - Accent4 3" xfId="290"/>
    <cellStyle name="20% - Accent4_46EE.2011(v1.0)" xfId="291"/>
    <cellStyle name="20% - Accent5" xfId="292"/>
    <cellStyle name="20% - Accent5 2" xfId="293"/>
    <cellStyle name="20% - Accent5 2 2" xfId="294"/>
    <cellStyle name="20% - Accent5 3" xfId="295"/>
    <cellStyle name="20% - Accent5_46EE.2011(v1.0)" xfId="296"/>
    <cellStyle name="20% - Accent6" xfId="297"/>
    <cellStyle name="20% - Accent6 2" xfId="298"/>
    <cellStyle name="20% - Accent6 2 2" xfId="299"/>
    <cellStyle name="20% - Accent6 3" xfId="300"/>
    <cellStyle name="20% - Accent6_46EE.2011(v1.0)" xfId="301"/>
    <cellStyle name="20% - Акцент1" xfId="302"/>
    <cellStyle name="20% - Акцент1 10" xfId="303"/>
    <cellStyle name="20% - Акцент1 2" xfId="304"/>
    <cellStyle name="20% - Акцент1 2 2" xfId="305"/>
    <cellStyle name="20% - Акцент1 2 2 2" xfId="306"/>
    <cellStyle name="20% - Акцент1 2 3" xfId="307"/>
    <cellStyle name="20% - Акцент1 2_46EE.2011(v1.0)" xfId="308"/>
    <cellStyle name="20% - Акцент1 3" xfId="309"/>
    <cellStyle name="20% - Акцент1 3 2" xfId="310"/>
    <cellStyle name="20% - Акцент1 3 2 2" xfId="311"/>
    <cellStyle name="20% - Акцент1 3 3" xfId="312"/>
    <cellStyle name="20% - Акцент1 3_46EE.2011(v1.0)" xfId="313"/>
    <cellStyle name="20% - Акцент1 4" xfId="314"/>
    <cellStyle name="20% - Акцент1 4 2" xfId="315"/>
    <cellStyle name="20% - Акцент1 4 2 2" xfId="316"/>
    <cellStyle name="20% - Акцент1 4 3" xfId="317"/>
    <cellStyle name="20% - Акцент1 4_46EE.2011(v1.0)" xfId="318"/>
    <cellStyle name="20% - Акцент1 5" xfId="319"/>
    <cellStyle name="20% - Акцент1 5 2" xfId="320"/>
    <cellStyle name="20% - Акцент1 5 2 2" xfId="321"/>
    <cellStyle name="20% - Акцент1 5 3" xfId="322"/>
    <cellStyle name="20% - Акцент1 5_46EE.2011(v1.0)" xfId="323"/>
    <cellStyle name="20% - Акцент1 6" xfId="324"/>
    <cellStyle name="20% - Акцент1 6 2" xfId="325"/>
    <cellStyle name="20% - Акцент1 6 2 2" xfId="326"/>
    <cellStyle name="20% - Акцент1 6 3" xfId="327"/>
    <cellStyle name="20% - Акцент1 6_46EE.2011(v1.0)" xfId="328"/>
    <cellStyle name="20% - Акцент1 7" xfId="329"/>
    <cellStyle name="20% - Акцент1 7 2" xfId="330"/>
    <cellStyle name="20% - Акцент1 7 2 2" xfId="331"/>
    <cellStyle name="20% - Акцент1 7 3" xfId="332"/>
    <cellStyle name="20% - Акцент1 7_46EE.2011(v1.0)" xfId="333"/>
    <cellStyle name="20% - Акцент1 8" xfId="334"/>
    <cellStyle name="20% - Акцент1 8 2" xfId="335"/>
    <cellStyle name="20% - Акцент1 8 2 2" xfId="336"/>
    <cellStyle name="20% - Акцент1 8 3" xfId="337"/>
    <cellStyle name="20% - Акцент1 8_46EE.2011(v1.0)" xfId="338"/>
    <cellStyle name="20% - Акцент1 9" xfId="339"/>
    <cellStyle name="20% - Акцент1 9 2" xfId="340"/>
    <cellStyle name="20% - Акцент1 9 2 2" xfId="341"/>
    <cellStyle name="20% - Акцент1 9 3" xfId="342"/>
    <cellStyle name="20% - Акцент1 9_46EE.2011(v1.0)" xfId="343"/>
    <cellStyle name="20% - Акцент2" xfId="344"/>
    <cellStyle name="20% - Акцент2 10" xfId="345"/>
    <cellStyle name="20% - Акцент2 2" xfId="346"/>
    <cellStyle name="20% - Акцент2 2 2" xfId="347"/>
    <cellStyle name="20% - Акцент2 2 2 2" xfId="348"/>
    <cellStyle name="20% - Акцент2 2 3" xfId="349"/>
    <cellStyle name="20% - Акцент2 2_46EE.2011(v1.0)" xfId="350"/>
    <cellStyle name="20% - Акцент2 3" xfId="351"/>
    <cellStyle name="20% - Акцент2 3 2" xfId="352"/>
    <cellStyle name="20% - Акцент2 3 2 2" xfId="353"/>
    <cellStyle name="20% - Акцент2 3 3" xfId="354"/>
    <cellStyle name="20% - Акцент2 3_46EE.2011(v1.0)" xfId="355"/>
    <cellStyle name="20% - Акцент2 4" xfId="356"/>
    <cellStyle name="20% - Акцент2 4 2" xfId="357"/>
    <cellStyle name="20% - Акцент2 4 2 2" xfId="358"/>
    <cellStyle name="20% - Акцент2 4 3" xfId="359"/>
    <cellStyle name="20% - Акцент2 4_46EE.2011(v1.0)" xfId="360"/>
    <cellStyle name="20% - Акцент2 5" xfId="361"/>
    <cellStyle name="20% - Акцент2 5 2" xfId="362"/>
    <cellStyle name="20% - Акцент2 5 2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2 2" xfId="368"/>
    <cellStyle name="20% - Акцент2 6 3" xfId="369"/>
    <cellStyle name="20% - Акцент2 6_46EE.2011(v1.0)" xfId="370"/>
    <cellStyle name="20% - Акцент2 7" xfId="371"/>
    <cellStyle name="20% - Акцент2 7 2" xfId="372"/>
    <cellStyle name="20% - Акцент2 7 2 2" xfId="373"/>
    <cellStyle name="20% - Акцент2 7 3" xfId="374"/>
    <cellStyle name="20% - Акцент2 7_46EE.2011(v1.0)" xfId="375"/>
    <cellStyle name="20% - Акцент2 8" xfId="376"/>
    <cellStyle name="20% - Акцент2 8 2" xfId="377"/>
    <cellStyle name="20% - Акцент2 8 2 2" xfId="378"/>
    <cellStyle name="20% - Акцент2 8 3" xfId="379"/>
    <cellStyle name="20% - Акцент2 8_46EE.2011(v1.0)" xfId="380"/>
    <cellStyle name="20% - Акцент2 9" xfId="381"/>
    <cellStyle name="20% - Акцент2 9 2" xfId="382"/>
    <cellStyle name="20% - Акцент2 9 2 2" xfId="383"/>
    <cellStyle name="20% - Акцент2 9 3" xfId="384"/>
    <cellStyle name="20% - Акцент2 9_46EE.2011(v1.0)" xfId="385"/>
    <cellStyle name="20% - Акцент3" xfId="386"/>
    <cellStyle name="20% - Акцент3 10" xfId="387"/>
    <cellStyle name="20% - Акцент3 2" xfId="388"/>
    <cellStyle name="20% - Акцент3 2 2" xfId="389"/>
    <cellStyle name="20% - Акцент3 2 2 2" xfId="390"/>
    <cellStyle name="20% - Акцент3 2 3" xfId="391"/>
    <cellStyle name="20% - Акцент3 2_46EE.2011(v1.0)" xfId="392"/>
    <cellStyle name="20% - Акцент3 3" xfId="393"/>
    <cellStyle name="20% - Акцент3 3 2" xfId="394"/>
    <cellStyle name="20% - Акцент3 3 2 2" xfId="395"/>
    <cellStyle name="20% - Акцент3 3 3" xfId="396"/>
    <cellStyle name="20% - Акцент3 3_46EE.2011(v1.0)" xfId="397"/>
    <cellStyle name="20% - Акцент3 4" xfId="398"/>
    <cellStyle name="20% - Акцент3 4 2" xfId="399"/>
    <cellStyle name="20% - Акцент3 4 2 2" xfId="400"/>
    <cellStyle name="20% - Акцент3 4 3" xfId="401"/>
    <cellStyle name="20% - Акцент3 4_46EE.2011(v1.0)" xfId="402"/>
    <cellStyle name="20% - Акцент3 5" xfId="403"/>
    <cellStyle name="20% - Акцент3 5 2" xfId="404"/>
    <cellStyle name="20% - Акцент3 5 2 2" xfId="405"/>
    <cellStyle name="20% - Акцент3 5 3" xfId="406"/>
    <cellStyle name="20% - Акцент3 5_46EE.2011(v1.0)" xfId="407"/>
    <cellStyle name="20% - Акцент3 6" xfId="408"/>
    <cellStyle name="20% - Акцент3 6 2" xfId="409"/>
    <cellStyle name="20% - Акцент3 6 2 2" xfId="410"/>
    <cellStyle name="20% - Акцент3 6 3" xfId="411"/>
    <cellStyle name="20% - Акцент3 6_46EE.2011(v1.0)" xfId="412"/>
    <cellStyle name="20% - Акцент3 7" xfId="413"/>
    <cellStyle name="20% - Акцент3 7 2" xfId="414"/>
    <cellStyle name="20% - Акцент3 7 2 2" xfId="415"/>
    <cellStyle name="20% - Акцент3 7 3" xfId="416"/>
    <cellStyle name="20% - Акцент3 7_46EE.2011(v1.0)" xfId="417"/>
    <cellStyle name="20% - Акцент3 8" xfId="418"/>
    <cellStyle name="20% - Акцент3 8 2" xfId="419"/>
    <cellStyle name="20% - Акцент3 8 2 2" xfId="420"/>
    <cellStyle name="20% - Акцент3 8 3" xfId="421"/>
    <cellStyle name="20% - Акцент3 8_46EE.2011(v1.0)" xfId="422"/>
    <cellStyle name="20% - Акцент3 9" xfId="423"/>
    <cellStyle name="20% - Акцент3 9 2" xfId="424"/>
    <cellStyle name="20% - Акцент3 9 2 2" xfId="425"/>
    <cellStyle name="20% - Акцент3 9 3" xfId="426"/>
    <cellStyle name="20% - Акцент3 9_46EE.2011(v1.0)" xfId="427"/>
    <cellStyle name="20% - Акцент4" xfId="428"/>
    <cellStyle name="20% - Акцент4 10" xfId="429"/>
    <cellStyle name="20% - Акцент4 2" xfId="430"/>
    <cellStyle name="20% - Акцент4 2 2" xfId="431"/>
    <cellStyle name="20% - Акцент4 2 2 2" xfId="432"/>
    <cellStyle name="20% - Акцент4 2 3" xfId="433"/>
    <cellStyle name="20% - Акцент4 2_46EE.2011(v1.0)" xfId="434"/>
    <cellStyle name="20% - Акцент4 3" xfId="435"/>
    <cellStyle name="20% - Акцент4 3 2" xfId="436"/>
    <cellStyle name="20% - Акцент4 3 2 2" xfId="437"/>
    <cellStyle name="20% - Акцент4 3 3" xfId="438"/>
    <cellStyle name="20% - Акцент4 3_46EE.2011(v1.0)" xfId="439"/>
    <cellStyle name="20% - Акцент4 4" xfId="440"/>
    <cellStyle name="20% - Акцент4 4 2" xfId="441"/>
    <cellStyle name="20% - Акцент4 4 2 2" xfId="442"/>
    <cellStyle name="20% - Акцент4 4 3" xfId="443"/>
    <cellStyle name="20% - Акцент4 4_46EE.2011(v1.0)" xfId="444"/>
    <cellStyle name="20% - Акцент4 5" xfId="445"/>
    <cellStyle name="20% - Акцент4 5 2" xfId="446"/>
    <cellStyle name="20% - Акцент4 5 2 2" xfId="447"/>
    <cellStyle name="20% - Акцент4 5 3" xfId="448"/>
    <cellStyle name="20% - Акцент4 5_46EE.2011(v1.0)" xfId="449"/>
    <cellStyle name="20% - Акцент4 6" xfId="450"/>
    <cellStyle name="20% - Акцент4 6 2" xfId="451"/>
    <cellStyle name="20% - Акцент4 6 2 2" xfId="452"/>
    <cellStyle name="20% - Акцент4 6 3" xfId="453"/>
    <cellStyle name="20% - Акцент4 6_46EE.2011(v1.0)" xfId="454"/>
    <cellStyle name="20% - Акцент4 7" xfId="455"/>
    <cellStyle name="20% - Акцент4 7 2" xfId="456"/>
    <cellStyle name="20% - Акцент4 7 2 2" xfId="457"/>
    <cellStyle name="20% - Акцент4 7 3" xfId="458"/>
    <cellStyle name="20% - Акцент4 7_46EE.2011(v1.0)" xfId="459"/>
    <cellStyle name="20% - Акцент4 8" xfId="460"/>
    <cellStyle name="20% - Акцент4 8 2" xfId="461"/>
    <cellStyle name="20% - Акцент4 8 2 2" xfId="462"/>
    <cellStyle name="20% - Акцент4 8 3" xfId="463"/>
    <cellStyle name="20% - Акцент4 8_46EE.2011(v1.0)" xfId="464"/>
    <cellStyle name="20% - Акцент4 9" xfId="465"/>
    <cellStyle name="20% - Акцент4 9 2" xfId="466"/>
    <cellStyle name="20% - Акцент4 9 2 2" xfId="467"/>
    <cellStyle name="20% - Акцент4 9 3" xfId="468"/>
    <cellStyle name="20% - Акцент4 9_46EE.2011(v1.0)" xfId="469"/>
    <cellStyle name="20% - Акцент5" xfId="470"/>
    <cellStyle name="20% - Акцент5 10" xfId="471"/>
    <cellStyle name="20% - Акцент5 2" xfId="472"/>
    <cellStyle name="20% - Акцент5 2 2" xfId="473"/>
    <cellStyle name="20% - Акцент5 2 2 2" xfId="474"/>
    <cellStyle name="20% - Акцент5 2 3" xfId="475"/>
    <cellStyle name="20% - Акцент5 2_46EE.2011(v1.0)" xfId="476"/>
    <cellStyle name="20% - Акцент5 3" xfId="477"/>
    <cellStyle name="20% - Акцент5 3 2" xfId="478"/>
    <cellStyle name="20% - Акцент5 3 2 2" xfId="479"/>
    <cellStyle name="20% - Акцент5 3 3" xfId="480"/>
    <cellStyle name="20% - Акцент5 3_46EE.2011(v1.0)" xfId="481"/>
    <cellStyle name="20% - Акцент5 4" xfId="482"/>
    <cellStyle name="20% - Акцент5 4 2" xfId="483"/>
    <cellStyle name="20% - Акцент5 4 2 2" xfId="484"/>
    <cellStyle name="20% - Акцент5 4 3" xfId="485"/>
    <cellStyle name="20% - Акцент5 4_46EE.2011(v1.0)" xfId="486"/>
    <cellStyle name="20% - Акцент5 5" xfId="487"/>
    <cellStyle name="20% - Акцент5 5 2" xfId="488"/>
    <cellStyle name="20% - Акцент5 5 2 2" xfId="489"/>
    <cellStyle name="20% - Акцент5 5 3" xfId="490"/>
    <cellStyle name="20% - Акцент5 5_46EE.2011(v1.0)" xfId="491"/>
    <cellStyle name="20% - Акцент5 6" xfId="492"/>
    <cellStyle name="20% - Акцент5 6 2" xfId="493"/>
    <cellStyle name="20% - Акцент5 6 2 2" xfId="494"/>
    <cellStyle name="20% - Акцент5 6 3" xfId="495"/>
    <cellStyle name="20% - Акцент5 6_46EE.2011(v1.0)" xfId="496"/>
    <cellStyle name="20% - Акцент5 7" xfId="497"/>
    <cellStyle name="20% - Акцент5 7 2" xfId="498"/>
    <cellStyle name="20% - Акцент5 7 2 2" xfId="499"/>
    <cellStyle name="20% - Акцент5 7 3" xfId="500"/>
    <cellStyle name="20% - Акцент5 7_46EE.2011(v1.0)" xfId="501"/>
    <cellStyle name="20% - Акцент5 8" xfId="502"/>
    <cellStyle name="20% - Акцент5 8 2" xfId="503"/>
    <cellStyle name="20% - Акцент5 8 2 2" xfId="504"/>
    <cellStyle name="20% - Акцент5 8 3" xfId="505"/>
    <cellStyle name="20% - Акцент5 8_46EE.2011(v1.0)" xfId="506"/>
    <cellStyle name="20% - Акцент5 9" xfId="507"/>
    <cellStyle name="20% - Акцент5 9 2" xfId="508"/>
    <cellStyle name="20% - Акцент5 9 2 2" xfId="509"/>
    <cellStyle name="20% - Акцент5 9 3" xfId="510"/>
    <cellStyle name="20% - Акцент5 9_46EE.2011(v1.0)" xfId="511"/>
    <cellStyle name="20% - Акцент6" xfId="512"/>
    <cellStyle name="20% - Акцент6 10" xfId="513"/>
    <cellStyle name="20% - Акцент6 2" xfId="514"/>
    <cellStyle name="20% - Акцент6 2 2" xfId="515"/>
    <cellStyle name="20% - Акцент6 2 2 2" xfId="516"/>
    <cellStyle name="20% - Акцент6 2 3" xfId="517"/>
    <cellStyle name="20% - Акцент6 2_46EE.2011(v1.0)" xfId="518"/>
    <cellStyle name="20% - Акцент6 3" xfId="519"/>
    <cellStyle name="20% - Акцент6 3 2" xfId="520"/>
    <cellStyle name="20% - Акцент6 3 2 2" xfId="521"/>
    <cellStyle name="20% - Акцент6 3 3" xfId="522"/>
    <cellStyle name="20% - Акцент6 3_46EE.2011(v1.0)" xfId="523"/>
    <cellStyle name="20% - Акцент6 4" xfId="524"/>
    <cellStyle name="20% - Акцент6 4 2" xfId="525"/>
    <cellStyle name="20% - Акцент6 4 2 2" xfId="526"/>
    <cellStyle name="20% - Акцент6 4 3" xfId="527"/>
    <cellStyle name="20% - Акцент6 4_46EE.2011(v1.0)" xfId="528"/>
    <cellStyle name="20% - Акцент6 5" xfId="529"/>
    <cellStyle name="20% - Акцент6 5 2" xfId="530"/>
    <cellStyle name="20% - Акцент6 5 2 2" xfId="531"/>
    <cellStyle name="20% - Акцент6 5 3" xfId="532"/>
    <cellStyle name="20% - Акцент6 5_46EE.2011(v1.0)" xfId="533"/>
    <cellStyle name="20% - Акцент6 6" xfId="534"/>
    <cellStyle name="20% - Акцент6 6 2" xfId="535"/>
    <cellStyle name="20% - Акцент6 6 2 2" xfId="536"/>
    <cellStyle name="20% - Акцент6 6 3" xfId="537"/>
    <cellStyle name="20% - Акцент6 6_46EE.2011(v1.0)" xfId="538"/>
    <cellStyle name="20% - Акцент6 7" xfId="539"/>
    <cellStyle name="20% - Акцент6 7 2" xfId="540"/>
    <cellStyle name="20% - Акцент6 7 2 2" xfId="541"/>
    <cellStyle name="20% - Акцент6 7 3" xfId="542"/>
    <cellStyle name="20% - Акцент6 7_46EE.2011(v1.0)" xfId="543"/>
    <cellStyle name="20% - Акцент6 8" xfId="544"/>
    <cellStyle name="20% - Акцент6 8 2" xfId="545"/>
    <cellStyle name="20% - Акцент6 8 2 2" xfId="546"/>
    <cellStyle name="20% - Акцент6 8 3" xfId="547"/>
    <cellStyle name="20% - Акцент6 8_46EE.2011(v1.0)" xfId="548"/>
    <cellStyle name="20% - Акцент6 9" xfId="549"/>
    <cellStyle name="20% - Акцент6 9 2" xfId="550"/>
    <cellStyle name="20% - Акцент6 9 2 2" xfId="551"/>
    <cellStyle name="20% - Акцент6 9 3" xfId="552"/>
    <cellStyle name="20% - Акцент6 9_46EE.2011(v1.0)" xfId="553"/>
    <cellStyle name="40% - Accent1" xfId="554"/>
    <cellStyle name="40% - Accent1 2" xfId="555"/>
    <cellStyle name="40% - Accent1 2 2" xfId="556"/>
    <cellStyle name="40% - Accent1 3" xfId="557"/>
    <cellStyle name="40% - Accent1_46EE.2011(v1.0)" xfId="558"/>
    <cellStyle name="40% - Accent2" xfId="559"/>
    <cellStyle name="40% - Accent2 2" xfId="560"/>
    <cellStyle name="40% - Accent2 2 2" xfId="561"/>
    <cellStyle name="40% - Accent2 3" xfId="562"/>
    <cellStyle name="40% - Accent2_46EE.2011(v1.0)" xfId="563"/>
    <cellStyle name="40% - Accent3" xfId="564"/>
    <cellStyle name="40% - Accent3 2" xfId="565"/>
    <cellStyle name="40% - Accent3 2 2" xfId="566"/>
    <cellStyle name="40% - Accent3 3" xfId="567"/>
    <cellStyle name="40% - Accent3_46EE.2011(v1.0)" xfId="568"/>
    <cellStyle name="40% - Accent4" xfId="569"/>
    <cellStyle name="40% - Accent4 2" xfId="570"/>
    <cellStyle name="40% - Accent4 2 2" xfId="571"/>
    <cellStyle name="40% - Accent4 3" xfId="572"/>
    <cellStyle name="40% - Accent4_46EE.2011(v1.0)" xfId="573"/>
    <cellStyle name="40% - Accent5" xfId="574"/>
    <cellStyle name="40% - Accent5 2" xfId="575"/>
    <cellStyle name="40% - Accent5 2 2" xfId="576"/>
    <cellStyle name="40% - Accent5 3" xfId="577"/>
    <cellStyle name="40% - Accent5_46EE.2011(v1.0)" xfId="578"/>
    <cellStyle name="40% - Accent6" xfId="579"/>
    <cellStyle name="40% - Accent6 2" xfId="580"/>
    <cellStyle name="40% - Accent6 2 2" xfId="581"/>
    <cellStyle name="40% - Accent6 3" xfId="582"/>
    <cellStyle name="40% - Accent6_46EE.2011(v1.0)" xfId="583"/>
    <cellStyle name="40% - Акцент1" xfId="584"/>
    <cellStyle name="40% - Акцент1 10" xfId="585"/>
    <cellStyle name="40% - Акцент1 2" xfId="586"/>
    <cellStyle name="40% - Акцент1 2 2" xfId="587"/>
    <cellStyle name="40% - Акцент1 2 2 2" xfId="588"/>
    <cellStyle name="40% - Акцент1 2 3" xfId="589"/>
    <cellStyle name="40% - Акцент1 2_46EE.2011(v1.0)" xfId="590"/>
    <cellStyle name="40% - Акцент1 3" xfId="591"/>
    <cellStyle name="40% - Акцент1 3 2" xfId="592"/>
    <cellStyle name="40% - Акцент1 3 2 2" xfId="593"/>
    <cellStyle name="40% - Акцент1 3 3" xfId="594"/>
    <cellStyle name="40% - Акцент1 3_46EE.2011(v1.0)" xfId="595"/>
    <cellStyle name="40% - Акцент1 4" xfId="596"/>
    <cellStyle name="40% - Акцент1 4 2" xfId="597"/>
    <cellStyle name="40% - Акцент1 4 2 2" xfId="598"/>
    <cellStyle name="40% - Акцент1 4 3" xfId="599"/>
    <cellStyle name="40% - Акцент1 4_46EE.2011(v1.0)" xfId="600"/>
    <cellStyle name="40% - Акцент1 5" xfId="601"/>
    <cellStyle name="40% - Акцент1 5 2" xfId="602"/>
    <cellStyle name="40% - Акцент1 5 2 2" xfId="603"/>
    <cellStyle name="40% - Акцент1 5 3" xfId="604"/>
    <cellStyle name="40% - Акцент1 5_46EE.2011(v1.0)" xfId="605"/>
    <cellStyle name="40% - Акцент1 6" xfId="606"/>
    <cellStyle name="40% - Акцент1 6 2" xfId="607"/>
    <cellStyle name="40% - Акцент1 6 2 2" xfId="608"/>
    <cellStyle name="40% - Акцент1 6 3" xfId="609"/>
    <cellStyle name="40% - Акцент1 6_46EE.2011(v1.0)" xfId="610"/>
    <cellStyle name="40% - Акцент1 7" xfId="611"/>
    <cellStyle name="40% - Акцент1 7 2" xfId="612"/>
    <cellStyle name="40% - Акцент1 7 2 2" xfId="613"/>
    <cellStyle name="40% - Акцент1 7 3" xfId="614"/>
    <cellStyle name="40% - Акцент1 7_46EE.2011(v1.0)" xfId="615"/>
    <cellStyle name="40% - Акцент1 8" xfId="616"/>
    <cellStyle name="40% - Акцент1 8 2" xfId="617"/>
    <cellStyle name="40% - Акцент1 8 2 2" xfId="618"/>
    <cellStyle name="40% - Акцент1 8 3" xfId="619"/>
    <cellStyle name="40% - Акцент1 8_46EE.2011(v1.0)" xfId="620"/>
    <cellStyle name="40% - Акцент1 9" xfId="621"/>
    <cellStyle name="40% - Акцент1 9 2" xfId="622"/>
    <cellStyle name="40% - Акцент1 9 2 2" xfId="623"/>
    <cellStyle name="40% - Акцент1 9 3" xfId="624"/>
    <cellStyle name="40% - Акцент1 9_46EE.2011(v1.0)" xfId="625"/>
    <cellStyle name="40% - Акцент2" xfId="626"/>
    <cellStyle name="40% - Акцент2 10" xfId="627"/>
    <cellStyle name="40% - Акцент2 2" xfId="628"/>
    <cellStyle name="40% - Акцент2 2 2" xfId="629"/>
    <cellStyle name="40% - Акцент2 2 2 2" xfId="630"/>
    <cellStyle name="40% - Акцент2 2 3" xfId="631"/>
    <cellStyle name="40% - Акцент2 2_46EE.2011(v1.0)" xfId="632"/>
    <cellStyle name="40% - Акцент2 3" xfId="633"/>
    <cellStyle name="40% - Акцент2 3 2" xfId="634"/>
    <cellStyle name="40% - Акцент2 3 2 2" xfId="635"/>
    <cellStyle name="40% - Акцент2 3 3" xfId="636"/>
    <cellStyle name="40% - Акцент2 3_46EE.2011(v1.0)" xfId="637"/>
    <cellStyle name="40% - Акцент2 4" xfId="638"/>
    <cellStyle name="40% - Акцент2 4 2" xfId="639"/>
    <cellStyle name="40% - Акцент2 4 2 2" xfId="640"/>
    <cellStyle name="40% - Акцент2 4 3" xfId="641"/>
    <cellStyle name="40% - Акцент2 4_46EE.2011(v1.0)" xfId="642"/>
    <cellStyle name="40% - Акцент2 5" xfId="643"/>
    <cellStyle name="40% - Акцент2 5 2" xfId="644"/>
    <cellStyle name="40% - Акцент2 5 2 2" xfId="645"/>
    <cellStyle name="40% - Акцент2 5 3" xfId="646"/>
    <cellStyle name="40% - Акцент2 5_46EE.2011(v1.0)" xfId="647"/>
    <cellStyle name="40% - Акцент2 6" xfId="648"/>
    <cellStyle name="40% - Акцент2 6 2" xfId="649"/>
    <cellStyle name="40% - Акцент2 6 2 2" xfId="650"/>
    <cellStyle name="40% - Акцент2 6 3" xfId="651"/>
    <cellStyle name="40% - Акцент2 6_46EE.2011(v1.0)" xfId="652"/>
    <cellStyle name="40% - Акцент2 7" xfId="653"/>
    <cellStyle name="40% - Акцент2 7 2" xfId="654"/>
    <cellStyle name="40% - Акцент2 7 2 2" xfId="655"/>
    <cellStyle name="40% - Акцент2 7 3" xfId="656"/>
    <cellStyle name="40% - Акцент2 7_46EE.2011(v1.0)" xfId="657"/>
    <cellStyle name="40% - Акцент2 8" xfId="658"/>
    <cellStyle name="40% - Акцент2 8 2" xfId="659"/>
    <cellStyle name="40% - Акцент2 8 2 2" xfId="660"/>
    <cellStyle name="40% - Акцент2 8 3" xfId="661"/>
    <cellStyle name="40% - Акцент2 8_46EE.2011(v1.0)" xfId="662"/>
    <cellStyle name="40% - Акцент2 9" xfId="663"/>
    <cellStyle name="40% - Акцент2 9 2" xfId="664"/>
    <cellStyle name="40% - Акцент2 9 2 2" xfId="665"/>
    <cellStyle name="40% - Акцент2 9 3" xfId="666"/>
    <cellStyle name="40% - Акцент2 9_46EE.2011(v1.0)" xfId="667"/>
    <cellStyle name="40% - Акцент3" xfId="668"/>
    <cellStyle name="40% - Акцент3 10" xfId="669"/>
    <cellStyle name="40% - Акцент3 2" xfId="670"/>
    <cellStyle name="40% - Акцент3 2 2" xfId="671"/>
    <cellStyle name="40% - Акцент3 2 2 2" xfId="672"/>
    <cellStyle name="40% - Акцент3 2 3" xfId="673"/>
    <cellStyle name="40% - Акцент3 2_46EE.2011(v1.0)" xfId="674"/>
    <cellStyle name="40% - Акцент3 3" xfId="675"/>
    <cellStyle name="40% - Акцент3 3 2" xfId="676"/>
    <cellStyle name="40% - Акцент3 3 2 2" xfId="677"/>
    <cellStyle name="40% - Акцент3 3 3" xfId="678"/>
    <cellStyle name="40% - Акцент3 3_46EE.2011(v1.0)" xfId="679"/>
    <cellStyle name="40% - Акцент3 4" xfId="680"/>
    <cellStyle name="40% - Акцент3 4 2" xfId="681"/>
    <cellStyle name="40% - Акцент3 4 2 2" xfId="682"/>
    <cellStyle name="40% - Акцент3 4 3" xfId="683"/>
    <cellStyle name="40% - Акцент3 4_46EE.2011(v1.0)" xfId="684"/>
    <cellStyle name="40% - Акцент3 5" xfId="685"/>
    <cellStyle name="40% - Акцент3 5 2" xfId="686"/>
    <cellStyle name="40% - Акцент3 5 2 2" xfId="687"/>
    <cellStyle name="40% - Акцент3 5 3" xfId="688"/>
    <cellStyle name="40% - Акцент3 5_46EE.2011(v1.0)" xfId="689"/>
    <cellStyle name="40% - Акцент3 6" xfId="690"/>
    <cellStyle name="40% - Акцент3 6 2" xfId="691"/>
    <cellStyle name="40% - Акцент3 6 2 2" xfId="692"/>
    <cellStyle name="40% - Акцент3 6 3" xfId="693"/>
    <cellStyle name="40% - Акцент3 6_46EE.2011(v1.0)" xfId="694"/>
    <cellStyle name="40% - Акцент3 7" xfId="695"/>
    <cellStyle name="40% - Акцент3 7 2" xfId="696"/>
    <cellStyle name="40% - Акцент3 7 2 2" xfId="697"/>
    <cellStyle name="40% - Акцент3 7 3" xfId="698"/>
    <cellStyle name="40% - Акцент3 7_46EE.2011(v1.0)" xfId="699"/>
    <cellStyle name="40% - Акцент3 8" xfId="700"/>
    <cellStyle name="40% - Акцент3 8 2" xfId="701"/>
    <cellStyle name="40% - Акцент3 8 2 2" xfId="702"/>
    <cellStyle name="40% - Акцент3 8 3" xfId="703"/>
    <cellStyle name="40% - Акцент3 8_46EE.2011(v1.0)" xfId="704"/>
    <cellStyle name="40% - Акцент3 9" xfId="705"/>
    <cellStyle name="40% - Акцент3 9 2" xfId="706"/>
    <cellStyle name="40% - Акцент3 9 2 2" xfId="707"/>
    <cellStyle name="40% - Акцент3 9 3" xfId="708"/>
    <cellStyle name="40% - Акцент3 9_46EE.2011(v1.0)" xfId="709"/>
    <cellStyle name="40% - Акцент4" xfId="710"/>
    <cellStyle name="40% - Акцент4 10" xfId="711"/>
    <cellStyle name="40% - Акцент4 2" xfId="712"/>
    <cellStyle name="40% - Акцент4 2 2" xfId="713"/>
    <cellStyle name="40% - Акцент4 2 2 2" xfId="714"/>
    <cellStyle name="40% - Акцент4 2 3" xfId="715"/>
    <cellStyle name="40% - Акцент4 2_46EE.2011(v1.0)" xfId="716"/>
    <cellStyle name="40% - Акцент4 3" xfId="717"/>
    <cellStyle name="40% - Акцент4 3 2" xfId="718"/>
    <cellStyle name="40% - Акцент4 3 2 2" xfId="719"/>
    <cellStyle name="40% - Акцент4 3 3" xfId="720"/>
    <cellStyle name="40% - Акцент4 3_46EE.2011(v1.0)" xfId="721"/>
    <cellStyle name="40% - Акцент4 4" xfId="722"/>
    <cellStyle name="40% - Акцент4 4 2" xfId="723"/>
    <cellStyle name="40% - Акцент4 4 2 2" xfId="724"/>
    <cellStyle name="40% - Акцент4 4 3" xfId="725"/>
    <cellStyle name="40% - Акцент4 4_46EE.2011(v1.0)" xfId="726"/>
    <cellStyle name="40% - Акцент4 5" xfId="727"/>
    <cellStyle name="40% - Акцент4 5 2" xfId="728"/>
    <cellStyle name="40% - Акцент4 5 2 2" xfId="729"/>
    <cellStyle name="40% - Акцент4 5 3" xfId="730"/>
    <cellStyle name="40% - Акцент4 5_46EE.2011(v1.0)" xfId="731"/>
    <cellStyle name="40% - Акцент4 6" xfId="732"/>
    <cellStyle name="40% - Акцент4 6 2" xfId="733"/>
    <cellStyle name="40% - Акцент4 6 2 2" xfId="734"/>
    <cellStyle name="40% - Акцент4 6 3" xfId="735"/>
    <cellStyle name="40% - Акцент4 6_46EE.2011(v1.0)" xfId="736"/>
    <cellStyle name="40% - Акцент4 7" xfId="737"/>
    <cellStyle name="40% - Акцент4 7 2" xfId="738"/>
    <cellStyle name="40% - Акцент4 7 2 2" xfId="739"/>
    <cellStyle name="40% - Акцент4 7 3" xfId="740"/>
    <cellStyle name="40% - Акцент4 7_46EE.2011(v1.0)" xfId="741"/>
    <cellStyle name="40% - Акцент4 8" xfId="742"/>
    <cellStyle name="40% - Акцент4 8 2" xfId="743"/>
    <cellStyle name="40% - Акцент4 8 2 2" xfId="744"/>
    <cellStyle name="40% - Акцент4 8 3" xfId="745"/>
    <cellStyle name="40% - Акцент4 8_46EE.2011(v1.0)" xfId="746"/>
    <cellStyle name="40% - Акцент4 9" xfId="747"/>
    <cellStyle name="40% - Акцент4 9 2" xfId="748"/>
    <cellStyle name="40% - Акцент4 9 2 2" xfId="749"/>
    <cellStyle name="40% - Акцент4 9 3" xfId="750"/>
    <cellStyle name="40% - Акцент4 9_46EE.2011(v1.0)" xfId="751"/>
    <cellStyle name="40% - Акцент5" xfId="752"/>
    <cellStyle name="40% - Акцент5 10" xfId="753"/>
    <cellStyle name="40% - Акцент5 2" xfId="754"/>
    <cellStyle name="40% - Акцент5 2 2" xfId="755"/>
    <cellStyle name="40% - Акцент5 2 2 2" xfId="756"/>
    <cellStyle name="40% - Акцент5 2 3" xfId="757"/>
    <cellStyle name="40% - Акцент5 2_46EE.2011(v1.0)" xfId="758"/>
    <cellStyle name="40% - Акцент5 3" xfId="759"/>
    <cellStyle name="40% - Акцент5 3 2" xfId="760"/>
    <cellStyle name="40% - Акцент5 3 2 2" xfId="761"/>
    <cellStyle name="40% - Акцент5 3 3" xfId="762"/>
    <cellStyle name="40% - Акцент5 3_46EE.2011(v1.0)" xfId="763"/>
    <cellStyle name="40% - Акцент5 4" xfId="764"/>
    <cellStyle name="40% - Акцент5 4 2" xfId="765"/>
    <cellStyle name="40% - Акцент5 4 2 2" xfId="766"/>
    <cellStyle name="40% - Акцент5 4 3" xfId="767"/>
    <cellStyle name="40% - Акцент5 4_46EE.2011(v1.0)" xfId="768"/>
    <cellStyle name="40% - Акцент5 5" xfId="769"/>
    <cellStyle name="40% - Акцент5 5 2" xfId="770"/>
    <cellStyle name="40% - Акцент5 5 2 2" xfId="771"/>
    <cellStyle name="40% - Акцент5 5 3" xfId="772"/>
    <cellStyle name="40% - Акцент5 5_46EE.2011(v1.0)" xfId="773"/>
    <cellStyle name="40% - Акцент5 6" xfId="774"/>
    <cellStyle name="40% - Акцент5 6 2" xfId="775"/>
    <cellStyle name="40% - Акцент5 6 2 2" xfId="776"/>
    <cellStyle name="40% - Акцент5 6 3" xfId="777"/>
    <cellStyle name="40% - Акцент5 6_46EE.2011(v1.0)" xfId="778"/>
    <cellStyle name="40% - Акцент5 7" xfId="779"/>
    <cellStyle name="40% - Акцент5 7 2" xfId="780"/>
    <cellStyle name="40% - Акцент5 7 2 2" xfId="781"/>
    <cellStyle name="40% - Акцент5 7 3" xfId="782"/>
    <cellStyle name="40% - Акцент5 7_46EE.2011(v1.0)" xfId="783"/>
    <cellStyle name="40% - Акцент5 8" xfId="784"/>
    <cellStyle name="40% - Акцент5 8 2" xfId="785"/>
    <cellStyle name="40% - Акцент5 8 2 2" xfId="786"/>
    <cellStyle name="40% - Акцент5 8 3" xfId="787"/>
    <cellStyle name="40% - Акцент5 8_46EE.2011(v1.0)" xfId="788"/>
    <cellStyle name="40% - Акцент5 9" xfId="789"/>
    <cellStyle name="40% - Акцент5 9 2" xfId="790"/>
    <cellStyle name="40% - Акцент5 9 2 2" xfId="791"/>
    <cellStyle name="40% - Акцент5 9 3" xfId="792"/>
    <cellStyle name="40% - Акцент5 9_46EE.2011(v1.0)" xfId="793"/>
    <cellStyle name="40% - Акцент6" xfId="794"/>
    <cellStyle name="40% - Акцент6 10" xfId="795"/>
    <cellStyle name="40% - Акцент6 2" xfId="796"/>
    <cellStyle name="40% - Акцент6 2 2" xfId="797"/>
    <cellStyle name="40% - Акцент6 2 2 2" xfId="798"/>
    <cellStyle name="40% - Акцент6 2 3" xfId="799"/>
    <cellStyle name="40% - Акцент6 2_46EE.2011(v1.0)" xfId="800"/>
    <cellStyle name="40% - Акцент6 3" xfId="801"/>
    <cellStyle name="40% - Акцент6 3 2" xfId="802"/>
    <cellStyle name="40% - Акцент6 3 2 2" xfId="803"/>
    <cellStyle name="40% - Акцент6 3 3" xfId="804"/>
    <cellStyle name="40% - Акцент6 3_46EE.2011(v1.0)" xfId="805"/>
    <cellStyle name="40% - Акцент6 4" xfId="806"/>
    <cellStyle name="40% - Акцент6 4 2" xfId="807"/>
    <cellStyle name="40% - Акцент6 4 2 2" xfId="808"/>
    <cellStyle name="40% - Акцент6 4 3" xfId="809"/>
    <cellStyle name="40% - Акцент6 4_46EE.2011(v1.0)" xfId="810"/>
    <cellStyle name="40% - Акцент6 5" xfId="811"/>
    <cellStyle name="40% - Акцент6 5 2" xfId="812"/>
    <cellStyle name="40% - Акцент6 5 2 2" xfId="813"/>
    <cellStyle name="40% - Акцент6 5 3" xfId="814"/>
    <cellStyle name="40% - Акцент6 5_46EE.2011(v1.0)" xfId="815"/>
    <cellStyle name="40% - Акцент6 6" xfId="816"/>
    <cellStyle name="40% - Акцент6 6 2" xfId="817"/>
    <cellStyle name="40% - Акцент6 6 2 2" xfId="818"/>
    <cellStyle name="40% - Акцент6 6 3" xfId="819"/>
    <cellStyle name="40% - Акцент6 6_46EE.2011(v1.0)" xfId="820"/>
    <cellStyle name="40% - Акцент6 7" xfId="821"/>
    <cellStyle name="40% - Акцент6 7 2" xfId="822"/>
    <cellStyle name="40% - Акцент6 7 2 2" xfId="823"/>
    <cellStyle name="40% - Акцент6 7 3" xfId="824"/>
    <cellStyle name="40% - Акцент6 7_46EE.2011(v1.0)" xfId="825"/>
    <cellStyle name="40% - Акцент6 8" xfId="826"/>
    <cellStyle name="40% - Акцент6 8 2" xfId="827"/>
    <cellStyle name="40% - Акцент6 8 2 2" xfId="828"/>
    <cellStyle name="40% - Акцент6 8 3" xfId="829"/>
    <cellStyle name="40% - Акцент6 8_46EE.2011(v1.0)" xfId="830"/>
    <cellStyle name="40% - Акцент6 9" xfId="831"/>
    <cellStyle name="40% - Акцент6 9 2" xfId="832"/>
    <cellStyle name="40% - Акцент6 9 2 2" xfId="833"/>
    <cellStyle name="40% - Акцент6 9 3" xfId="834"/>
    <cellStyle name="40% - Акцент6 9_46EE.2011(v1.0)" xfId="835"/>
    <cellStyle name="60% - Accent1" xfId="836"/>
    <cellStyle name="60% - Accent2" xfId="837"/>
    <cellStyle name="60% - Accent3" xfId="838"/>
    <cellStyle name="60% - Accent4" xfId="839"/>
    <cellStyle name="60% - Accent5" xfId="840"/>
    <cellStyle name="60% - Accent6" xfId="841"/>
    <cellStyle name="60% - Акцент1" xfId="842"/>
    <cellStyle name="60% - Акцент1 10" xfId="843"/>
    <cellStyle name="60% - Акцент1 2" xfId="844"/>
    <cellStyle name="60% - Акцент1 2 2" xfId="845"/>
    <cellStyle name="60% - Акцент1 3" xfId="846"/>
    <cellStyle name="60% - Акцент1 3 2" xfId="847"/>
    <cellStyle name="60% - Акцент1 4" xfId="848"/>
    <cellStyle name="60% - Акцент1 4 2" xfId="849"/>
    <cellStyle name="60% - Акцент1 5" xfId="850"/>
    <cellStyle name="60% - Акцент1 5 2" xfId="851"/>
    <cellStyle name="60% - Акцент1 6" xfId="852"/>
    <cellStyle name="60% - Акцент1 6 2" xfId="853"/>
    <cellStyle name="60% - Акцент1 7" xfId="854"/>
    <cellStyle name="60% - Акцент1 7 2" xfId="855"/>
    <cellStyle name="60% - Акцент1 8" xfId="856"/>
    <cellStyle name="60% - Акцент1 8 2" xfId="857"/>
    <cellStyle name="60% - Акцент1 9" xfId="858"/>
    <cellStyle name="60% - Акцент1 9 2" xfId="859"/>
    <cellStyle name="60% - Акцент2" xfId="860"/>
    <cellStyle name="60% - Акцент2 10" xfId="861"/>
    <cellStyle name="60% - Акцент2 2" xfId="862"/>
    <cellStyle name="60% - Акцент2 2 2" xfId="863"/>
    <cellStyle name="60% - Акцент2 3" xfId="864"/>
    <cellStyle name="60% - Акцент2 3 2" xfId="865"/>
    <cellStyle name="60% - Акцент2 4" xfId="866"/>
    <cellStyle name="60% - Акцент2 4 2" xfId="867"/>
    <cellStyle name="60% - Акцент2 5" xfId="868"/>
    <cellStyle name="60% - Акцент2 5 2" xfId="869"/>
    <cellStyle name="60% - Акцент2 6" xfId="870"/>
    <cellStyle name="60% - Акцент2 6 2" xfId="871"/>
    <cellStyle name="60% - Акцент2 7" xfId="872"/>
    <cellStyle name="60% - Акцент2 7 2" xfId="873"/>
    <cellStyle name="60% - Акцент2 8" xfId="874"/>
    <cellStyle name="60% - Акцент2 8 2" xfId="875"/>
    <cellStyle name="60% - Акцент2 9" xfId="876"/>
    <cellStyle name="60% - Акцент2 9 2" xfId="877"/>
    <cellStyle name="60% - Акцент3" xfId="878"/>
    <cellStyle name="60% - Акцент3 10" xfId="879"/>
    <cellStyle name="60% - Акцент3 2" xfId="880"/>
    <cellStyle name="60% - Акцент3 2 2" xfId="881"/>
    <cellStyle name="60% - Акцент3 3" xfId="882"/>
    <cellStyle name="60% - Акцент3 3 2" xfId="883"/>
    <cellStyle name="60% - Акцент3 4" xfId="884"/>
    <cellStyle name="60% - Акцент3 4 2" xfId="885"/>
    <cellStyle name="60% - Акцент3 5" xfId="886"/>
    <cellStyle name="60% - Акцент3 5 2" xfId="887"/>
    <cellStyle name="60% - Акцент3 6" xfId="888"/>
    <cellStyle name="60% - Акцент3 6 2" xfId="889"/>
    <cellStyle name="60% - Акцент3 7" xfId="890"/>
    <cellStyle name="60% - Акцент3 7 2" xfId="891"/>
    <cellStyle name="60% - Акцент3 8" xfId="892"/>
    <cellStyle name="60% - Акцент3 8 2" xfId="893"/>
    <cellStyle name="60% - Акцент3 9" xfId="894"/>
    <cellStyle name="60% - Акцент3 9 2" xfId="895"/>
    <cellStyle name="60% - Акцент4" xfId="896"/>
    <cellStyle name="60% - Акцент4 10" xfId="897"/>
    <cellStyle name="60% - Акцент4 2" xfId="898"/>
    <cellStyle name="60% - Акцент4 2 2" xfId="899"/>
    <cellStyle name="60% - Акцент4 3" xfId="900"/>
    <cellStyle name="60% - Акцент4 3 2" xfId="901"/>
    <cellStyle name="60% - Акцент4 4" xfId="902"/>
    <cellStyle name="60% - Акцент4 4 2" xfId="903"/>
    <cellStyle name="60% - Акцент4 5" xfId="904"/>
    <cellStyle name="60% - Акцент4 5 2" xfId="905"/>
    <cellStyle name="60% - Акцент4 6" xfId="906"/>
    <cellStyle name="60% - Акцент4 6 2" xfId="907"/>
    <cellStyle name="60% - Акцент4 7" xfId="908"/>
    <cellStyle name="60% - Акцент4 7 2" xfId="909"/>
    <cellStyle name="60% - Акцент4 8" xfId="910"/>
    <cellStyle name="60% - Акцент4 8 2" xfId="911"/>
    <cellStyle name="60% - Акцент4 9" xfId="912"/>
    <cellStyle name="60% - Акцент4 9 2" xfId="913"/>
    <cellStyle name="60% - Акцент5" xfId="914"/>
    <cellStyle name="60% - Акцент5 10" xfId="915"/>
    <cellStyle name="60% - Акцент5 2" xfId="916"/>
    <cellStyle name="60% - Акцент5 2 2" xfId="917"/>
    <cellStyle name="60% - Акцент5 3" xfId="918"/>
    <cellStyle name="60% - Акцент5 3 2" xfId="919"/>
    <cellStyle name="60% - Акцент5 4" xfId="920"/>
    <cellStyle name="60% - Акцент5 4 2" xfId="921"/>
    <cellStyle name="60% - Акцент5 5" xfId="922"/>
    <cellStyle name="60% - Акцент5 5 2" xfId="923"/>
    <cellStyle name="60% - Акцент5 6" xfId="924"/>
    <cellStyle name="60% - Акцент5 6 2" xfId="925"/>
    <cellStyle name="60% - Акцент5 7" xfId="926"/>
    <cellStyle name="60% - Акцент5 7 2" xfId="927"/>
    <cellStyle name="60% - Акцент5 8" xfId="928"/>
    <cellStyle name="60% - Акцент5 8 2" xfId="929"/>
    <cellStyle name="60% - Акцент5 9" xfId="930"/>
    <cellStyle name="60% - Акцент5 9 2" xfId="931"/>
    <cellStyle name="60% - Акцент6" xfId="932"/>
    <cellStyle name="60% - Акцент6 10" xfId="933"/>
    <cellStyle name="60% - Акцент6 2" xfId="934"/>
    <cellStyle name="60% - Акцент6 2 2" xfId="935"/>
    <cellStyle name="60% - Акцент6 3" xfId="936"/>
    <cellStyle name="60% - Акцент6 3 2" xfId="937"/>
    <cellStyle name="60% - Акцент6 4" xfId="938"/>
    <cellStyle name="60% - Акцент6 4 2" xfId="939"/>
    <cellStyle name="60% - Акцент6 5" xfId="940"/>
    <cellStyle name="60% - Акцент6 5 2" xfId="941"/>
    <cellStyle name="60% - Акцент6 6" xfId="942"/>
    <cellStyle name="60% - Акцент6 6 2" xfId="943"/>
    <cellStyle name="60% - Акцент6 7" xfId="944"/>
    <cellStyle name="60% - Акцент6 7 2" xfId="945"/>
    <cellStyle name="60% - Акцент6 8" xfId="946"/>
    <cellStyle name="60% - Акцент6 8 2" xfId="947"/>
    <cellStyle name="60% - Акцент6 9" xfId="948"/>
    <cellStyle name="60% - Акцент6 9 2" xfId="949"/>
    <cellStyle name="Accent1" xfId="950"/>
    <cellStyle name="Accent2" xfId="951"/>
    <cellStyle name="Accent3" xfId="952"/>
    <cellStyle name="Accent4" xfId="953"/>
    <cellStyle name="Accent5" xfId="954"/>
    <cellStyle name="Accent6" xfId="955"/>
    <cellStyle name="Ăčďĺđńńűëęŕ" xfId="956"/>
    <cellStyle name="AFE" xfId="957"/>
    <cellStyle name="Áĺççŕůčňíűé" xfId="958"/>
    <cellStyle name="Äĺíĺćíűé [0]_(ňŕá 3č)" xfId="959"/>
    <cellStyle name="Äĺíĺćíűé_(ňŕá 3č)" xfId="960"/>
    <cellStyle name="Bad" xfId="961"/>
    <cellStyle name="Blue" xfId="962"/>
    <cellStyle name="Body_$Dollars" xfId="963"/>
    <cellStyle name="Calculation" xfId="964"/>
    <cellStyle name="Check Cell" xfId="965"/>
    <cellStyle name="Chek" xfId="966"/>
    <cellStyle name="Comma [0]_Adjusted FS 1299" xfId="967"/>
    <cellStyle name="Comma 0" xfId="968"/>
    <cellStyle name="Comma 0*" xfId="969"/>
    <cellStyle name="Comma 2" xfId="970"/>
    <cellStyle name="Comma 3*" xfId="971"/>
    <cellStyle name="Comma_Adjusted FS 1299" xfId="972"/>
    <cellStyle name="Comma0" xfId="973"/>
    <cellStyle name="Çŕůčňíűé" xfId="974"/>
    <cellStyle name="Currency [0]" xfId="975"/>
    <cellStyle name="Currency [0] 2" xfId="976"/>
    <cellStyle name="Currency [0] 2 10" xfId="977"/>
    <cellStyle name="Currency [0] 2 11" xfId="978"/>
    <cellStyle name="Currency [0] 2 2" xfId="979"/>
    <cellStyle name="Currency [0] 2 2 2" xfId="980"/>
    <cellStyle name="Currency [0] 2 2 3" xfId="981"/>
    <cellStyle name="Currency [0] 2 2 4" xfId="982"/>
    <cellStyle name="Currency [0] 2 2 5" xfId="983"/>
    <cellStyle name="Currency [0] 2 3" xfId="984"/>
    <cellStyle name="Currency [0] 2 3 2" xfId="985"/>
    <cellStyle name="Currency [0] 2 3 3" xfId="986"/>
    <cellStyle name="Currency [0] 2 3 4" xfId="987"/>
    <cellStyle name="Currency [0] 2 3 5" xfId="988"/>
    <cellStyle name="Currency [0] 2 4" xfId="989"/>
    <cellStyle name="Currency [0] 2 4 2" xfId="990"/>
    <cellStyle name="Currency [0] 2 4 3" xfId="991"/>
    <cellStyle name="Currency [0] 2 4 4" xfId="992"/>
    <cellStyle name="Currency [0] 2 4 5" xfId="993"/>
    <cellStyle name="Currency [0] 2 5" xfId="994"/>
    <cellStyle name="Currency [0] 2 5 2" xfId="995"/>
    <cellStyle name="Currency [0] 2 5 3" xfId="996"/>
    <cellStyle name="Currency [0] 2 5 4" xfId="997"/>
    <cellStyle name="Currency [0] 2 5 5" xfId="998"/>
    <cellStyle name="Currency [0] 2 6" xfId="999"/>
    <cellStyle name="Currency [0] 2 6 2" xfId="1000"/>
    <cellStyle name="Currency [0] 2 6 3" xfId="1001"/>
    <cellStyle name="Currency [0] 2 6 4" xfId="1002"/>
    <cellStyle name="Currency [0] 2 6 5" xfId="1003"/>
    <cellStyle name="Currency [0] 2 7" xfId="1004"/>
    <cellStyle name="Currency [0] 2 7 2" xfId="1005"/>
    <cellStyle name="Currency [0] 2 7 3" xfId="1006"/>
    <cellStyle name="Currency [0] 2 7 4" xfId="1007"/>
    <cellStyle name="Currency [0] 2 7 5" xfId="1008"/>
    <cellStyle name="Currency [0] 2 8" xfId="1009"/>
    <cellStyle name="Currency [0] 2 8 2" xfId="1010"/>
    <cellStyle name="Currency [0] 2 8 3" xfId="1011"/>
    <cellStyle name="Currency [0] 2 8 4" xfId="1012"/>
    <cellStyle name="Currency [0] 2 8 5" xfId="1013"/>
    <cellStyle name="Currency [0] 2 9" xfId="1014"/>
    <cellStyle name="Currency [0] 3" xfId="1015"/>
    <cellStyle name="Currency [0] 3 10" xfId="1016"/>
    <cellStyle name="Currency [0] 3 11" xfId="1017"/>
    <cellStyle name="Currency [0] 3 2" xfId="1018"/>
    <cellStyle name="Currency [0] 3 2 2" xfId="1019"/>
    <cellStyle name="Currency [0] 3 2 3" xfId="1020"/>
    <cellStyle name="Currency [0] 3 2 4" xfId="1021"/>
    <cellStyle name="Currency [0] 3 2 5" xfId="1022"/>
    <cellStyle name="Currency [0] 3 3" xfId="1023"/>
    <cellStyle name="Currency [0] 3 3 2" xfId="1024"/>
    <cellStyle name="Currency [0] 3 3 3" xfId="1025"/>
    <cellStyle name="Currency [0] 3 3 4" xfId="1026"/>
    <cellStyle name="Currency [0] 3 3 5" xfId="1027"/>
    <cellStyle name="Currency [0] 3 4" xfId="1028"/>
    <cellStyle name="Currency [0] 3 4 2" xfId="1029"/>
    <cellStyle name="Currency [0] 3 4 3" xfId="1030"/>
    <cellStyle name="Currency [0] 3 4 4" xfId="1031"/>
    <cellStyle name="Currency [0] 3 4 5" xfId="1032"/>
    <cellStyle name="Currency [0] 3 5" xfId="1033"/>
    <cellStyle name="Currency [0] 3 5 2" xfId="1034"/>
    <cellStyle name="Currency [0] 3 5 3" xfId="1035"/>
    <cellStyle name="Currency [0] 3 5 4" xfId="1036"/>
    <cellStyle name="Currency [0] 3 5 5" xfId="1037"/>
    <cellStyle name="Currency [0] 3 6" xfId="1038"/>
    <cellStyle name="Currency [0] 3 6 2" xfId="1039"/>
    <cellStyle name="Currency [0] 3 6 3" xfId="1040"/>
    <cellStyle name="Currency [0] 3 6 4" xfId="1041"/>
    <cellStyle name="Currency [0] 3 6 5" xfId="1042"/>
    <cellStyle name="Currency [0] 3 7" xfId="1043"/>
    <cellStyle name="Currency [0] 3 7 2" xfId="1044"/>
    <cellStyle name="Currency [0] 3 7 3" xfId="1045"/>
    <cellStyle name="Currency [0] 3 7 4" xfId="1046"/>
    <cellStyle name="Currency [0] 3 7 5" xfId="1047"/>
    <cellStyle name="Currency [0] 3 8" xfId="1048"/>
    <cellStyle name="Currency [0] 3 8 2" xfId="1049"/>
    <cellStyle name="Currency [0] 3 8 3" xfId="1050"/>
    <cellStyle name="Currency [0] 3 8 4" xfId="1051"/>
    <cellStyle name="Currency [0] 3 8 5" xfId="1052"/>
    <cellStyle name="Currency [0] 3 9" xfId="1053"/>
    <cellStyle name="Currency [0] 4" xfId="1054"/>
    <cellStyle name="Currency [0] 4 10" xfId="1055"/>
    <cellStyle name="Currency [0] 4 11" xfId="1056"/>
    <cellStyle name="Currency [0] 4 2" xfId="1057"/>
    <cellStyle name="Currency [0] 4 2 2" xfId="1058"/>
    <cellStyle name="Currency [0] 4 2 3" xfId="1059"/>
    <cellStyle name="Currency [0] 4 2 4" xfId="1060"/>
    <cellStyle name="Currency [0] 4 2 5" xfId="1061"/>
    <cellStyle name="Currency [0] 4 3" xfId="1062"/>
    <cellStyle name="Currency [0] 4 3 2" xfId="1063"/>
    <cellStyle name="Currency [0] 4 3 3" xfId="1064"/>
    <cellStyle name="Currency [0] 4 3 4" xfId="1065"/>
    <cellStyle name="Currency [0] 4 3 5" xfId="1066"/>
    <cellStyle name="Currency [0] 4 4" xfId="1067"/>
    <cellStyle name="Currency [0] 4 4 2" xfId="1068"/>
    <cellStyle name="Currency [0] 4 4 3" xfId="1069"/>
    <cellStyle name="Currency [0] 4 4 4" xfId="1070"/>
    <cellStyle name="Currency [0] 4 4 5" xfId="1071"/>
    <cellStyle name="Currency [0] 4 5" xfId="1072"/>
    <cellStyle name="Currency [0] 4 5 2" xfId="1073"/>
    <cellStyle name="Currency [0] 4 5 3" xfId="1074"/>
    <cellStyle name="Currency [0] 4 5 4" xfId="1075"/>
    <cellStyle name="Currency [0] 4 5 5" xfId="1076"/>
    <cellStyle name="Currency [0] 4 6" xfId="1077"/>
    <cellStyle name="Currency [0] 4 6 2" xfId="1078"/>
    <cellStyle name="Currency [0] 4 6 3" xfId="1079"/>
    <cellStyle name="Currency [0] 4 6 4" xfId="1080"/>
    <cellStyle name="Currency [0] 4 6 5" xfId="1081"/>
    <cellStyle name="Currency [0] 4 7" xfId="1082"/>
    <cellStyle name="Currency [0] 4 7 2" xfId="1083"/>
    <cellStyle name="Currency [0] 4 7 3" xfId="1084"/>
    <cellStyle name="Currency [0] 4 7 4" xfId="1085"/>
    <cellStyle name="Currency [0] 4 7 5" xfId="1086"/>
    <cellStyle name="Currency [0] 4 8" xfId="1087"/>
    <cellStyle name="Currency [0] 4 8 2" xfId="1088"/>
    <cellStyle name="Currency [0] 4 8 3" xfId="1089"/>
    <cellStyle name="Currency [0] 4 8 4" xfId="1090"/>
    <cellStyle name="Currency [0] 4 8 5" xfId="1091"/>
    <cellStyle name="Currency [0] 4 9" xfId="1092"/>
    <cellStyle name="Currency [0] 5" xfId="1093"/>
    <cellStyle name="Currency [0] 5 10" xfId="1094"/>
    <cellStyle name="Currency [0] 5 11" xfId="1095"/>
    <cellStyle name="Currency [0] 5 2" xfId="1096"/>
    <cellStyle name="Currency [0] 5 2 2" xfId="1097"/>
    <cellStyle name="Currency [0] 5 2 3" xfId="1098"/>
    <cellStyle name="Currency [0] 5 2 4" xfId="1099"/>
    <cellStyle name="Currency [0] 5 2 5" xfId="1100"/>
    <cellStyle name="Currency [0] 5 3" xfId="1101"/>
    <cellStyle name="Currency [0] 5 3 2" xfId="1102"/>
    <cellStyle name="Currency [0] 5 3 3" xfId="1103"/>
    <cellStyle name="Currency [0] 5 3 4" xfId="1104"/>
    <cellStyle name="Currency [0] 5 3 5" xfId="1105"/>
    <cellStyle name="Currency [0] 5 4" xfId="1106"/>
    <cellStyle name="Currency [0] 5 4 2" xfId="1107"/>
    <cellStyle name="Currency [0] 5 4 3" xfId="1108"/>
    <cellStyle name="Currency [0] 5 4 4" xfId="1109"/>
    <cellStyle name="Currency [0] 5 4 5" xfId="1110"/>
    <cellStyle name="Currency [0] 5 5" xfId="1111"/>
    <cellStyle name="Currency [0] 5 5 2" xfId="1112"/>
    <cellStyle name="Currency [0] 5 5 3" xfId="1113"/>
    <cellStyle name="Currency [0] 5 5 4" xfId="1114"/>
    <cellStyle name="Currency [0] 5 5 5" xfId="1115"/>
    <cellStyle name="Currency [0] 5 6" xfId="1116"/>
    <cellStyle name="Currency [0] 5 6 2" xfId="1117"/>
    <cellStyle name="Currency [0] 5 6 3" xfId="1118"/>
    <cellStyle name="Currency [0] 5 6 4" xfId="1119"/>
    <cellStyle name="Currency [0] 5 6 5" xfId="1120"/>
    <cellStyle name="Currency [0] 5 7" xfId="1121"/>
    <cellStyle name="Currency [0] 5 7 2" xfId="1122"/>
    <cellStyle name="Currency [0] 5 7 3" xfId="1123"/>
    <cellStyle name="Currency [0] 5 7 4" xfId="1124"/>
    <cellStyle name="Currency [0] 5 7 5" xfId="1125"/>
    <cellStyle name="Currency [0] 5 8" xfId="1126"/>
    <cellStyle name="Currency [0] 5 8 2" xfId="1127"/>
    <cellStyle name="Currency [0] 5 8 3" xfId="1128"/>
    <cellStyle name="Currency [0] 5 8 4" xfId="1129"/>
    <cellStyle name="Currency [0] 5 8 5" xfId="1130"/>
    <cellStyle name="Currency [0] 5 9" xfId="1131"/>
    <cellStyle name="Currency [0] 6" xfId="1132"/>
    <cellStyle name="Currency [0] 6 2" xfId="1133"/>
    <cellStyle name="Currency [0] 6 2 2" xfId="1134"/>
    <cellStyle name="Currency [0] 6 3" xfId="1135"/>
    <cellStyle name="Currency [0] 6 4" xfId="1136"/>
    <cellStyle name="Currency [0] 7" xfId="1137"/>
    <cellStyle name="Currency [0] 7 2" xfId="1138"/>
    <cellStyle name="Currency [0] 7 2 2" xfId="1139"/>
    <cellStyle name="Currency [0] 7 3" xfId="1140"/>
    <cellStyle name="Currency [0] 7 4" xfId="1141"/>
    <cellStyle name="Currency [0] 8" xfId="1142"/>
    <cellStyle name="Currency [0] 8 2" xfId="1143"/>
    <cellStyle name="Currency [0] 8 2 2" xfId="1144"/>
    <cellStyle name="Currency [0] 8 3" xfId="1145"/>
    <cellStyle name="Currency [0] 8 4" xfId="1146"/>
    <cellStyle name="Currency 0" xfId="1147"/>
    <cellStyle name="Currency 2" xfId="1148"/>
    <cellStyle name="Currency_06_9m" xfId="1149"/>
    <cellStyle name="Currency0" xfId="1150"/>
    <cellStyle name="Currency2" xfId="1151"/>
    <cellStyle name="Date" xfId="1152"/>
    <cellStyle name="Date Aligned" xfId="1153"/>
    <cellStyle name="Dates" xfId="1154"/>
    <cellStyle name="Dezimal [0]_NEGS" xfId="1155"/>
    <cellStyle name="Dezimal_NEGS" xfId="1156"/>
    <cellStyle name="Dotted Line" xfId="1157"/>
    <cellStyle name="E&amp;Y House" xfId="1158"/>
    <cellStyle name="E-mail" xfId="1159"/>
    <cellStyle name="E-mail 2" xfId="1160"/>
    <cellStyle name="E-mail_EE.2REK.P2011.4.78(v0.3)" xfId="1161"/>
    <cellStyle name="Euro" xfId="1162"/>
    <cellStyle name="ew" xfId="1163"/>
    <cellStyle name="Explanatory Text" xfId="1164"/>
    <cellStyle name="F2" xfId="1165"/>
    <cellStyle name="F3" xfId="1166"/>
    <cellStyle name="F4" xfId="1167"/>
    <cellStyle name="F5" xfId="1168"/>
    <cellStyle name="F6" xfId="1169"/>
    <cellStyle name="F7" xfId="1170"/>
    <cellStyle name="F8" xfId="1171"/>
    <cellStyle name="Fixed" xfId="1172"/>
    <cellStyle name="fo]&#13;&#10;UserName=Murat Zelef&#13;&#10;UserCompany=Bumerang&#13;&#10;&#13;&#10;[File Paths]&#13;&#10;WorkingDirectory=C:\EQUIS\DLWIN&#13;&#10;DownLoader=C" xfId="1173"/>
    <cellStyle name="Followed Hyperlink" xfId="1174"/>
    <cellStyle name="Footnote" xfId="1175"/>
    <cellStyle name="Good" xfId="1176"/>
    <cellStyle name="hard no" xfId="1177"/>
    <cellStyle name="Hard Percent" xfId="1178"/>
    <cellStyle name="hardno" xfId="1179"/>
    <cellStyle name="Header" xfId="1180"/>
    <cellStyle name="Heading" xfId="1181"/>
    <cellStyle name="Heading 1" xfId="1182"/>
    <cellStyle name="Heading 2" xfId="1183"/>
    <cellStyle name="Heading 3" xfId="1184"/>
    <cellStyle name="Heading 4" xfId="1185"/>
    <cellStyle name="Heading_GP.ITOG.4.78(v1.0) - для разделения" xfId="1186"/>
    <cellStyle name="Heading2" xfId="1187"/>
    <cellStyle name="Heading2 2" xfId="1188"/>
    <cellStyle name="Heading2_EE.2REK.P2011.4.78(v0.3)" xfId="1189"/>
    <cellStyle name="Hyperlink" xfId="1190"/>
    <cellStyle name="Îáű÷íűé__FES" xfId="1191"/>
    <cellStyle name="Îáû÷íûé_cogs" xfId="1192"/>
    <cellStyle name="Îňęđűâŕâřŕ˙ń˙ ăčďĺđńńűëęŕ" xfId="1193"/>
    <cellStyle name="Info" xfId="1194"/>
    <cellStyle name="Input" xfId="1195"/>
    <cellStyle name="InputCurrency" xfId="1196"/>
    <cellStyle name="InputCurrency2" xfId="1197"/>
    <cellStyle name="InputMultiple1" xfId="1198"/>
    <cellStyle name="InputPercent1" xfId="1199"/>
    <cellStyle name="Inputs" xfId="1200"/>
    <cellStyle name="Inputs (const)" xfId="1201"/>
    <cellStyle name="Inputs (const) 2" xfId="1202"/>
    <cellStyle name="Inputs (const)_EE.2REK.P2011.4.78(v0.3)" xfId="1203"/>
    <cellStyle name="Inputs 2" xfId="1204"/>
    <cellStyle name="Inputs Co" xfId="1205"/>
    <cellStyle name="Inputs_46EE.2011(v1.0)" xfId="1206"/>
    <cellStyle name="Linked Cell" xfId="1207"/>
    <cellStyle name="Millares [0]_RESULTS" xfId="1208"/>
    <cellStyle name="Millares_RESULTS" xfId="1209"/>
    <cellStyle name="Milliers [0]_RESULTS" xfId="1210"/>
    <cellStyle name="Milliers_RESULTS" xfId="1211"/>
    <cellStyle name="mnb" xfId="1212"/>
    <cellStyle name="Moneda [0]_RESULTS" xfId="1213"/>
    <cellStyle name="Moneda_RESULTS" xfId="1214"/>
    <cellStyle name="Monétaire [0]_RESULTS" xfId="1215"/>
    <cellStyle name="Monétaire_RESULTS" xfId="1216"/>
    <cellStyle name="Multiple" xfId="1217"/>
    <cellStyle name="Multiple1" xfId="1218"/>
    <cellStyle name="MultipleBelow" xfId="1219"/>
    <cellStyle name="namber" xfId="1220"/>
    <cellStyle name="Neutral" xfId="1221"/>
    <cellStyle name="Norma11l" xfId="1222"/>
    <cellStyle name="normal" xfId="1223"/>
    <cellStyle name="Normal - Style1" xfId="1224"/>
    <cellStyle name="normal 10" xfId="1225"/>
    <cellStyle name="normal 11" xfId="1226"/>
    <cellStyle name="normal 12" xfId="1227"/>
    <cellStyle name="Normal 2" xfId="1228"/>
    <cellStyle name="Normal 2 2" xfId="1229"/>
    <cellStyle name="Normal 2 3" xfId="1230"/>
    <cellStyle name="Normal 2 4" xfId="1231"/>
    <cellStyle name="normal 3" xfId="1232"/>
    <cellStyle name="normal 3 2" xfId="1233"/>
    <cellStyle name="normal 4" xfId="1234"/>
    <cellStyle name="normal 4 2" xfId="1235"/>
    <cellStyle name="normal 5" xfId="1236"/>
    <cellStyle name="normal 5 2" xfId="1237"/>
    <cellStyle name="normal 6" xfId="1238"/>
    <cellStyle name="normal 6 2" xfId="1239"/>
    <cellStyle name="normal 7" xfId="1240"/>
    <cellStyle name="normal 7 2" xfId="1241"/>
    <cellStyle name="normal 8" xfId="1242"/>
    <cellStyle name="normal 8 2" xfId="1243"/>
    <cellStyle name="normal 9" xfId="1244"/>
    <cellStyle name="normal 9 2" xfId="1245"/>
    <cellStyle name="Normal." xfId="1246"/>
    <cellStyle name="Normal_06_9m" xfId="1247"/>
    <cellStyle name="Normal1" xfId="1248"/>
    <cellStyle name="Normal2" xfId="1249"/>
    <cellStyle name="NormalGB" xfId="1250"/>
    <cellStyle name="Normalny_24. 02. 97." xfId="1251"/>
    <cellStyle name="normбlnм_laroux" xfId="1252"/>
    <cellStyle name="Note" xfId="1253"/>
    <cellStyle name="number" xfId="1254"/>
    <cellStyle name="Ôčíŕíńîâűé [0]_(ňŕá 3č)" xfId="1255"/>
    <cellStyle name="Ôčíŕíńîâűé_(ňŕá 3č)" xfId="1256"/>
    <cellStyle name="Option" xfId="1257"/>
    <cellStyle name="Òûñÿ÷è [0]_cogs" xfId="1258"/>
    <cellStyle name="Òûñÿ÷è_cogs" xfId="1259"/>
    <cellStyle name="Output" xfId="1260"/>
    <cellStyle name="Page Number" xfId="1261"/>
    <cellStyle name="pb_page_heading_LS" xfId="1262"/>
    <cellStyle name="Percent_RS_Lianozovo-Samara_9m01" xfId="1263"/>
    <cellStyle name="Percent1" xfId="1264"/>
    <cellStyle name="Piug" xfId="1265"/>
    <cellStyle name="Plug" xfId="1266"/>
    <cellStyle name="Price_Body" xfId="1267"/>
    <cellStyle name="prochrek" xfId="1268"/>
    <cellStyle name="Protected" xfId="1269"/>
    <cellStyle name="Salomon Logo" xfId="1270"/>
    <cellStyle name="SAPBEXaggData" xfId="1271"/>
    <cellStyle name="SAPBEXaggDataEmph" xfId="1272"/>
    <cellStyle name="SAPBEXaggItem" xfId="1273"/>
    <cellStyle name="SAPBEXaggItemX" xfId="1274"/>
    <cellStyle name="SAPBEXchaText" xfId="1275"/>
    <cellStyle name="SAPBEXchaText 2" xfId="1276"/>
    <cellStyle name="SAPBEXchaText_UPDATE.JKH.OPEN.INFO.TARIFF.HVS.TO.4.3.64" xfId="1277"/>
    <cellStyle name="SAPBEXexcBad7" xfId="1278"/>
    <cellStyle name="SAPBEXexcBad8" xfId="1279"/>
    <cellStyle name="SAPBEXexcBad9" xfId="1280"/>
    <cellStyle name="SAPBEXexcCritical4" xfId="1281"/>
    <cellStyle name="SAPBEXexcCritical5" xfId="1282"/>
    <cellStyle name="SAPBEXexcCritical6" xfId="1283"/>
    <cellStyle name="SAPBEXexcGood1" xfId="1284"/>
    <cellStyle name="SAPBEXexcGood2" xfId="1285"/>
    <cellStyle name="SAPBEXexcGood3" xfId="1286"/>
    <cellStyle name="SAPBEXfilterDrill" xfId="1287"/>
    <cellStyle name="SAPBEXfilterItem" xfId="1288"/>
    <cellStyle name="SAPBEXfilterText" xfId="1289"/>
    <cellStyle name="SAPBEXformats" xfId="1290"/>
    <cellStyle name="SAPBEXformats 2" xfId="1291"/>
    <cellStyle name="SAPBEXformats_UPDATE.JKH.OPEN.INFO.TARIFF.HVS.TO.4.3.64" xfId="1292"/>
    <cellStyle name="SAPBEXheaderItem" xfId="1293"/>
    <cellStyle name="SAPBEXheaderText" xfId="1294"/>
    <cellStyle name="SAPBEXHLevel0" xfId="1295"/>
    <cellStyle name="SAPBEXHLevel0 2" xfId="1296"/>
    <cellStyle name="SAPBEXHLevel0_UPDATE.JKH.OPEN.INFO.TARIFF.HVS.TO.4.3.64" xfId="1297"/>
    <cellStyle name="SAPBEXHLevel0X" xfId="1298"/>
    <cellStyle name="SAPBEXHLevel0X 2" xfId="1299"/>
    <cellStyle name="SAPBEXHLevel0X_UPDATE.JKH.OPEN.INFO.TARIFF.HVS.TO.4.3.64" xfId="1300"/>
    <cellStyle name="SAPBEXHLevel1" xfId="1301"/>
    <cellStyle name="SAPBEXHLevel1 2" xfId="1302"/>
    <cellStyle name="SAPBEXHLevel1_UPDATE.JKH.OPEN.INFO.TARIFF.HVS.TO.4.3.64" xfId="1303"/>
    <cellStyle name="SAPBEXHLevel1X" xfId="1304"/>
    <cellStyle name="SAPBEXHLevel1X 2" xfId="1305"/>
    <cellStyle name="SAPBEXHLevel1X_UPDATE.JKH.OPEN.INFO.TARIFF.HVS.TO.4.3.64" xfId="1306"/>
    <cellStyle name="SAPBEXHLevel2" xfId="1307"/>
    <cellStyle name="SAPBEXHLevel2 2" xfId="1308"/>
    <cellStyle name="SAPBEXHLevel2_UPDATE.JKH.OPEN.INFO.TARIFF.HVS.TO.4.3.64" xfId="1309"/>
    <cellStyle name="SAPBEXHLevel2X" xfId="1310"/>
    <cellStyle name="SAPBEXHLevel2X 2" xfId="1311"/>
    <cellStyle name="SAPBEXHLevel2X_UPDATE.JKH.OPEN.INFO.TARIFF.HVS.TO.4.3.64" xfId="1312"/>
    <cellStyle name="SAPBEXHLevel3" xfId="1313"/>
    <cellStyle name="SAPBEXHLevel3 2" xfId="1314"/>
    <cellStyle name="SAPBEXHLevel3_UPDATE.JKH.OPEN.INFO.TARIFF.HVS.TO.4.3.64" xfId="1315"/>
    <cellStyle name="SAPBEXHLevel3X" xfId="1316"/>
    <cellStyle name="SAPBEXHLevel3X 2" xfId="1317"/>
    <cellStyle name="SAPBEXHLevel3X_UPDATE.JKH.OPEN.INFO.TARIFF.HVS.TO.4.3.64" xfId="1318"/>
    <cellStyle name="SAPBEXinputData" xfId="1319"/>
    <cellStyle name="SAPBEXinputData 2" xfId="1320"/>
    <cellStyle name="SAPBEXinputData 3" xfId="1321"/>
    <cellStyle name="SAPBEXinputData 4" xfId="1322"/>
    <cellStyle name="SAPBEXresData" xfId="1323"/>
    <cellStyle name="SAPBEXresDataEmph" xfId="1324"/>
    <cellStyle name="SAPBEXresItem" xfId="1325"/>
    <cellStyle name="SAPBEXresItemX" xfId="1326"/>
    <cellStyle name="SAPBEXstdData" xfId="1327"/>
    <cellStyle name="SAPBEXstdDataEmph" xfId="1328"/>
    <cellStyle name="SAPBEXstdItem" xfId="1329"/>
    <cellStyle name="SAPBEXstdItem 2" xfId="1330"/>
    <cellStyle name="SAPBEXstdItem_UPDATE.JKH.OPEN.INFO.TARIFF.HVS.TO.4.3.64" xfId="1331"/>
    <cellStyle name="SAPBEXstdItemX" xfId="1332"/>
    <cellStyle name="SAPBEXstdItemX 2" xfId="1333"/>
    <cellStyle name="SAPBEXstdItemX_UPDATE.JKH.OPEN.INFO.TARIFF.HVS.TO.4.3.64" xfId="1334"/>
    <cellStyle name="SAPBEXtitle" xfId="1335"/>
    <cellStyle name="SAPBEXundefined" xfId="1336"/>
    <cellStyle name="st1" xfId="1337"/>
    <cellStyle name="Standard_NEGS" xfId="1338"/>
    <cellStyle name="Style 1" xfId="1339"/>
    <cellStyle name="Table Head" xfId="1340"/>
    <cellStyle name="Table Head Aligned" xfId="1341"/>
    <cellStyle name="Table Head Blue" xfId="1342"/>
    <cellStyle name="Table Head Green" xfId="1343"/>
    <cellStyle name="Table Head_Val_Sum_Graph" xfId="1344"/>
    <cellStyle name="Table Heading" xfId="1345"/>
    <cellStyle name="Table Heading 2" xfId="1346"/>
    <cellStyle name="Table Heading_EE.2REK.P2011.4.78(v0.3)" xfId="1347"/>
    <cellStyle name="Table Text" xfId="1348"/>
    <cellStyle name="Table Title" xfId="1349"/>
    <cellStyle name="Table Units" xfId="1350"/>
    <cellStyle name="Table_Header" xfId="1351"/>
    <cellStyle name="Text" xfId="1352"/>
    <cellStyle name="Text 1" xfId="1353"/>
    <cellStyle name="Text Head" xfId="1354"/>
    <cellStyle name="Text Head 1" xfId="1355"/>
    <cellStyle name="Title" xfId="1356"/>
    <cellStyle name="Total" xfId="1357"/>
    <cellStyle name="TotalCurrency" xfId="1358"/>
    <cellStyle name="Underline_Single" xfId="1359"/>
    <cellStyle name="Unit" xfId="1360"/>
    <cellStyle name="Warning Text" xfId="1361"/>
    <cellStyle name="year" xfId="1362"/>
    <cellStyle name="Акцент1" xfId="1363"/>
    <cellStyle name="Акцент1 10" xfId="1364"/>
    <cellStyle name="Акцент1 2" xfId="1365"/>
    <cellStyle name="Акцент1 2 2" xfId="1366"/>
    <cellStyle name="Акцент1 3" xfId="1367"/>
    <cellStyle name="Акцент1 3 2" xfId="1368"/>
    <cellStyle name="Акцент1 4" xfId="1369"/>
    <cellStyle name="Акцент1 4 2" xfId="1370"/>
    <cellStyle name="Акцент1 5" xfId="1371"/>
    <cellStyle name="Акцент1 5 2" xfId="1372"/>
    <cellStyle name="Акцент1 6" xfId="1373"/>
    <cellStyle name="Акцент1 6 2" xfId="1374"/>
    <cellStyle name="Акцент1 7" xfId="1375"/>
    <cellStyle name="Акцент1 7 2" xfId="1376"/>
    <cellStyle name="Акцент1 8" xfId="1377"/>
    <cellStyle name="Акцент1 8 2" xfId="1378"/>
    <cellStyle name="Акцент1 9" xfId="1379"/>
    <cellStyle name="Акцент1 9 2" xfId="1380"/>
    <cellStyle name="Акцент2" xfId="1381"/>
    <cellStyle name="Акцент2 10" xfId="1382"/>
    <cellStyle name="Акцент2 2" xfId="1383"/>
    <cellStyle name="Акцент2 2 2" xfId="1384"/>
    <cellStyle name="Акцент2 3" xfId="1385"/>
    <cellStyle name="Акцент2 3 2" xfId="1386"/>
    <cellStyle name="Акцент2 4" xfId="1387"/>
    <cellStyle name="Акцент2 4 2" xfId="1388"/>
    <cellStyle name="Акцент2 5" xfId="1389"/>
    <cellStyle name="Акцент2 5 2" xfId="1390"/>
    <cellStyle name="Акцент2 6" xfId="1391"/>
    <cellStyle name="Акцент2 6 2" xfId="1392"/>
    <cellStyle name="Акцент2 7" xfId="1393"/>
    <cellStyle name="Акцент2 7 2" xfId="1394"/>
    <cellStyle name="Акцент2 8" xfId="1395"/>
    <cellStyle name="Акцент2 8 2" xfId="1396"/>
    <cellStyle name="Акцент2 9" xfId="1397"/>
    <cellStyle name="Акцент2 9 2" xfId="1398"/>
    <cellStyle name="Акцент3" xfId="1399"/>
    <cellStyle name="Акцент3 10" xfId="1400"/>
    <cellStyle name="Акцент3 2" xfId="1401"/>
    <cellStyle name="Акцент3 2 2" xfId="1402"/>
    <cellStyle name="Акцент3 3" xfId="1403"/>
    <cellStyle name="Акцент3 3 2" xfId="1404"/>
    <cellStyle name="Акцент3 4" xfId="1405"/>
    <cellStyle name="Акцент3 4 2" xfId="1406"/>
    <cellStyle name="Акцент3 5" xfId="1407"/>
    <cellStyle name="Акцент3 5 2" xfId="1408"/>
    <cellStyle name="Акцент3 6" xfId="1409"/>
    <cellStyle name="Акцент3 6 2" xfId="1410"/>
    <cellStyle name="Акцент3 7" xfId="1411"/>
    <cellStyle name="Акцент3 7 2" xfId="1412"/>
    <cellStyle name="Акцент3 8" xfId="1413"/>
    <cellStyle name="Акцент3 8 2" xfId="1414"/>
    <cellStyle name="Акцент3 9" xfId="1415"/>
    <cellStyle name="Акцент3 9 2" xfId="1416"/>
    <cellStyle name="Акцент4" xfId="1417"/>
    <cellStyle name="Акцент4 10" xfId="1418"/>
    <cellStyle name="Акцент4 2" xfId="1419"/>
    <cellStyle name="Акцент4 2 2" xfId="1420"/>
    <cellStyle name="Акцент4 3" xfId="1421"/>
    <cellStyle name="Акцент4 3 2" xfId="1422"/>
    <cellStyle name="Акцент4 4" xfId="1423"/>
    <cellStyle name="Акцент4 4 2" xfId="1424"/>
    <cellStyle name="Акцент4 5" xfId="1425"/>
    <cellStyle name="Акцент4 5 2" xfId="1426"/>
    <cellStyle name="Акцент4 6" xfId="1427"/>
    <cellStyle name="Акцент4 6 2" xfId="1428"/>
    <cellStyle name="Акцент4 7" xfId="1429"/>
    <cellStyle name="Акцент4 7 2" xfId="1430"/>
    <cellStyle name="Акцент4 8" xfId="1431"/>
    <cellStyle name="Акцент4 8 2" xfId="1432"/>
    <cellStyle name="Акцент4 9" xfId="1433"/>
    <cellStyle name="Акцент4 9 2" xfId="1434"/>
    <cellStyle name="Акцент5" xfId="1435"/>
    <cellStyle name="Акцент5 10" xfId="1436"/>
    <cellStyle name="Акцент5 2" xfId="1437"/>
    <cellStyle name="Акцент5 2 2" xfId="1438"/>
    <cellStyle name="Акцент5 3" xfId="1439"/>
    <cellStyle name="Акцент5 3 2" xfId="1440"/>
    <cellStyle name="Акцент5 4" xfId="1441"/>
    <cellStyle name="Акцент5 4 2" xfId="1442"/>
    <cellStyle name="Акцент5 5" xfId="1443"/>
    <cellStyle name="Акцент5 5 2" xfId="1444"/>
    <cellStyle name="Акцент5 6" xfId="1445"/>
    <cellStyle name="Акцент5 6 2" xfId="1446"/>
    <cellStyle name="Акцент5 7" xfId="1447"/>
    <cellStyle name="Акцент5 7 2" xfId="1448"/>
    <cellStyle name="Акцент5 8" xfId="1449"/>
    <cellStyle name="Акцент5 8 2" xfId="1450"/>
    <cellStyle name="Акцент5 9" xfId="1451"/>
    <cellStyle name="Акцент5 9 2" xfId="1452"/>
    <cellStyle name="Акцент6" xfId="1453"/>
    <cellStyle name="Акцент6 10" xfId="1454"/>
    <cellStyle name="Акцент6 2" xfId="1455"/>
    <cellStyle name="Акцент6 2 2" xfId="1456"/>
    <cellStyle name="Акцент6 3" xfId="1457"/>
    <cellStyle name="Акцент6 3 2" xfId="1458"/>
    <cellStyle name="Акцент6 4" xfId="1459"/>
    <cellStyle name="Акцент6 4 2" xfId="1460"/>
    <cellStyle name="Акцент6 5" xfId="1461"/>
    <cellStyle name="Акцент6 5 2" xfId="1462"/>
    <cellStyle name="Акцент6 6" xfId="1463"/>
    <cellStyle name="Акцент6 6 2" xfId="1464"/>
    <cellStyle name="Акцент6 7" xfId="1465"/>
    <cellStyle name="Акцент6 7 2" xfId="1466"/>
    <cellStyle name="Акцент6 8" xfId="1467"/>
    <cellStyle name="Акцент6 8 2" xfId="1468"/>
    <cellStyle name="Акцент6 9" xfId="1469"/>
    <cellStyle name="Акцент6 9 2" xfId="1470"/>
    <cellStyle name="Беззащитный" xfId="1471"/>
    <cellStyle name="Ввод " xfId="1472"/>
    <cellStyle name="Ввод  10" xfId="1473"/>
    <cellStyle name="Ввод  2" xfId="1474"/>
    <cellStyle name="Ввод  2 2" xfId="1475"/>
    <cellStyle name="Ввод  2_46EE.2011(v1.0)" xfId="1476"/>
    <cellStyle name="Ввод  3" xfId="1477"/>
    <cellStyle name="Ввод  3 2" xfId="1478"/>
    <cellStyle name="Ввод  3_46EE.2011(v1.0)" xfId="1479"/>
    <cellStyle name="Ввод  4" xfId="1480"/>
    <cellStyle name="Ввод  4 2" xfId="1481"/>
    <cellStyle name="Ввод  4_46EE.2011(v1.0)" xfId="1482"/>
    <cellStyle name="Ввод  5" xfId="1483"/>
    <cellStyle name="Ввод  5 2" xfId="1484"/>
    <cellStyle name="Ввод  5_46EE.2011(v1.0)" xfId="1485"/>
    <cellStyle name="Ввод  6" xfId="1486"/>
    <cellStyle name="Ввод  6 2" xfId="1487"/>
    <cellStyle name="Ввод  6_46EE.2011(v1.0)" xfId="1488"/>
    <cellStyle name="Ввод  7" xfId="1489"/>
    <cellStyle name="Ввод  7 2" xfId="1490"/>
    <cellStyle name="Ввод  7_46EE.2011(v1.0)" xfId="1491"/>
    <cellStyle name="Ввод  8" xfId="1492"/>
    <cellStyle name="Ввод  8 2" xfId="1493"/>
    <cellStyle name="Ввод  8_46EE.2011(v1.0)" xfId="1494"/>
    <cellStyle name="Ввод  9" xfId="1495"/>
    <cellStyle name="Ввод  9 2" xfId="1496"/>
    <cellStyle name="Ввод  9_46EE.2011(v1.0)" xfId="1497"/>
    <cellStyle name="Верт. заголовок" xfId="1498"/>
    <cellStyle name="Вес_продукта" xfId="1499"/>
    <cellStyle name="Вывод" xfId="1500"/>
    <cellStyle name="Вывод 10" xfId="1501"/>
    <cellStyle name="Вывод 2" xfId="1502"/>
    <cellStyle name="Вывод 2 2" xfId="1503"/>
    <cellStyle name="Вывод 2_46EE.2011(v1.0)" xfId="1504"/>
    <cellStyle name="Вывод 3" xfId="1505"/>
    <cellStyle name="Вывод 3 2" xfId="1506"/>
    <cellStyle name="Вывод 3_46EE.2011(v1.0)" xfId="1507"/>
    <cellStyle name="Вывод 4" xfId="1508"/>
    <cellStyle name="Вывод 4 2" xfId="1509"/>
    <cellStyle name="Вывод 4_46EE.2011(v1.0)" xfId="1510"/>
    <cellStyle name="Вывод 5" xfId="1511"/>
    <cellStyle name="Вывод 5 2" xfId="1512"/>
    <cellStyle name="Вывод 5_46EE.2011(v1.0)" xfId="1513"/>
    <cellStyle name="Вывод 6" xfId="1514"/>
    <cellStyle name="Вывод 6 2" xfId="1515"/>
    <cellStyle name="Вывод 6_46EE.2011(v1.0)" xfId="1516"/>
    <cellStyle name="Вывод 7" xfId="1517"/>
    <cellStyle name="Вывод 7 2" xfId="1518"/>
    <cellStyle name="Вывод 7_46EE.2011(v1.0)" xfId="1519"/>
    <cellStyle name="Вывод 8" xfId="1520"/>
    <cellStyle name="Вывод 8 2" xfId="1521"/>
    <cellStyle name="Вывод 8_46EE.2011(v1.0)" xfId="1522"/>
    <cellStyle name="Вывод 9" xfId="1523"/>
    <cellStyle name="Вывод 9 2" xfId="1524"/>
    <cellStyle name="Вывод 9_46EE.2011(v1.0)" xfId="1525"/>
    <cellStyle name="Вычисление" xfId="1526"/>
    <cellStyle name="Вычисление 10" xfId="1527"/>
    <cellStyle name="Вычисление 2" xfId="1528"/>
    <cellStyle name="Вычисление 2 2" xfId="1529"/>
    <cellStyle name="Вычисление 2_46EE.2011(v1.0)" xfId="1530"/>
    <cellStyle name="Вычисление 3" xfId="1531"/>
    <cellStyle name="Вычисление 3 2" xfId="1532"/>
    <cellStyle name="Вычисление 3_46EE.2011(v1.0)" xfId="1533"/>
    <cellStyle name="Вычисление 4" xfId="1534"/>
    <cellStyle name="Вычисление 4 2" xfId="1535"/>
    <cellStyle name="Вычисление 4_46EE.2011(v1.0)" xfId="1536"/>
    <cellStyle name="Вычисление 5" xfId="1537"/>
    <cellStyle name="Вычисление 5 2" xfId="1538"/>
    <cellStyle name="Вычисление 5_46EE.2011(v1.0)" xfId="1539"/>
    <cellStyle name="Вычисление 6" xfId="1540"/>
    <cellStyle name="Вычисление 6 2" xfId="1541"/>
    <cellStyle name="Вычисление 6_46EE.2011(v1.0)" xfId="1542"/>
    <cellStyle name="Вычисление 7" xfId="1543"/>
    <cellStyle name="Вычисление 7 2" xfId="1544"/>
    <cellStyle name="Вычисление 7_46EE.2011(v1.0)" xfId="1545"/>
    <cellStyle name="Вычисление 8" xfId="1546"/>
    <cellStyle name="Вычисление 8 2" xfId="1547"/>
    <cellStyle name="Вычисление 8_46EE.2011(v1.0)" xfId="1548"/>
    <cellStyle name="Вычисление 9" xfId="1549"/>
    <cellStyle name="Вычисление 9 2" xfId="1550"/>
    <cellStyle name="Вычисление 9_46EE.2011(v1.0)" xfId="1551"/>
    <cellStyle name="Hyperlink" xfId="1552"/>
    <cellStyle name="Гиперссылка 2" xfId="1553"/>
    <cellStyle name="Гиперссылка 3" xfId="1554"/>
    <cellStyle name="Гиперссылка 4" xfId="1555"/>
    <cellStyle name="Группа" xfId="1556"/>
    <cellStyle name="Группа 0" xfId="1557"/>
    <cellStyle name="Группа 1" xfId="1558"/>
    <cellStyle name="Группа 2" xfId="1559"/>
    <cellStyle name="Группа 3" xfId="1560"/>
    <cellStyle name="Группа 4" xfId="1561"/>
    <cellStyle name="Группа 5" xfId="1562"/>
    <cellStyle name="Группа 6" xfId="1563"/>
    <cellStyle name="Группа 7" xfId="1564"/>
    <cellStyle name="Группа 8" xfId="1565"/>
    <cellStyle name="Группа_additional slides_04.12.03 _1" xfId="1566"/>
    <cellStyle name="ДАТА" xfId="1567"/>
    <cellStyle name="ДАТА 2" xfId="1568"/>
    <cellStyle name="ДАТА 2 2" xfId="1569"/>
    <cellStyle name="ДАТА 3" xfId="1570"/>
    <cellStyle name="ДАТА 3 2" xfId="1571"/>
    <cellStyle name="ДАТА 4" xfId="1572"/>
    <cellStyle name="ДАТА 4 2" xfId="1573"/>
    <cellStyle name="ДАТА 5" xfId="1574"/>
    <cellStyle name="ДАТА 5 2" xfId="1575"/>
    <cellStyle name="ДАТА 6" xfId="1576"/>
    <cellStyle name="ДАТА 6 2" xfId="1577"/>
    <cellStyle name="ДАТА 7" xfId="1578"/>
    <cellStyle name="ДАТА 7 2" xfId="1579"/>
    <cellStyle name="ДАТА 8" xfId="1580"/>
    <cellStyle name="ДАТА 8 2" xfId="1581"/>
    <cellStyle name="ДАТА 9" xfId="1582"/>
    <cellStyle name="ДАТА_1" xfId="1583"/>
    <cellStyle name="Currency" xfId="1584"/>
    <cellStyle name="Currency [0]" xfId="1585"/>
    <cellStyle name="Денежный 2" xfId="1586"/>
    <cellStyle name="Денежный 2 2" xfId="1587"/>
    <cellStyle name="Денежный 2 3" xfId="1588"/>
    <cellStyle name="Денежный 2_INDEX.STATION.2012(v1.0)_" xfId="1589"/>
    <cellStyle name="Заголовок" xfId="1590"/>
    <cellStyle name="Заголовок 1" xfId="1591"/>
    <cellStyle name="Заголовок 1 10" xfId="1592"/>
    <cellStyle name="Заголовок 1 2" xfId="1593"/>
    <cellStyle name="Заголовок 1 2 2" xfId="1594"/>
    <cellStyle name="Заголовок 1 2_46EE.2011(v1.0)" xfId="1595"/>
    <cellStyle name="Заголовок 1 3" xfId="1596"/>
    <cellStyle name="Заголовок 1 3 2" xfId="1597"/>
    <cellStyle name="Заголовок 1 3_46EE.2011(v1.0)" xfId="1598"/>
    <cellStyle name="Заголовок 1 4" xfId="1599"/>
    <cellStyle name="Заголовок 1 4 2" xfId="1600"/>
    <cellStyle name="Заголовок 1 4_46EE.2011(v1.0)" xfId="1601"/>
    <cellStyle name="Заголовок 1 5" xfId="1602"/>
    <cellStyle name="Заголовок 1 5 2" xfId="1603"/>
    <cellStyle name="Заголовок 1 5_46EE.2011(v1.0)" xfId="1604"/>
    <cellStyle name="Заголовок 1 6" xfId="1605"/>
    <cellStyle name="Заголовок 1 6 2" xfId="1606"/>
    <cellStyle name="Заголовок 1 6_46EE.2011(v1.0)" xfId="1607"/>
    <cellStyle name="Заголовок 1 7" xfId="1608"/>
    <cellStyle name="Заголовок 1 7 2" xfId="1609"/>
    <cellStyle name="Заголовок 1 7_46EE.2011(v1.0)" xfId="1610"/>
    <cellStyle name="Заголовок 1 8" xfId="1611"/>
    <cellStyle name="Заголовок 1 8 2" xfId="1612"/>
    <cellStyle name="Заголовок 1 8_46EE.2011(v1.0)" xfId="1613"/>
    <cellStyle name="Заголовок 1 9" xfId="1614"/>
    <cellStyle name="Заголовок 1 9 2" xfId="1615"/>
    <cellStyle name="Заголовок 1 9_46EE.2011(v1.0)" xfId="1616"/>
    <cellStyle name="Заголовок 2" xfId="1617"/>
    <cellStyle name="Заголовок 2 10" xfId="1618"/>
    <cellStyle name="Заголовок 2 2" xfId="1619"/>
    <cellStyle name="Заголовок 2 2 2" xfId="1620"/>
    <cellStyle name="Заголовок 2 2_46EE.2011(v1.0)" xfId="1621"/>
    <cellStyle name="Заголовок 2 3" xfId="1622"/>
    <cellStyle name="Заголовок 2 3 2" xfId="1623"/>
    <cellStyle name="Заголовок 2 3_46EE.2011(v1.0)" xfId="1624"/>
    <cellStyle name="Заголовок 2 4" xfId="1625"/>
    <cellStyle name="Заголовок 2 4 2" xfId="1626"/>
    <cellStyle name="Заголовок 2 4_46EE.2011(v1.0)" xfId="1627"/>
    <cellStyle name="Заголовок 2 5" xfId="1628"/>
    <cellStyle name="Заголовок 2 5 2" xfId="1629"/>
    <cellStyle name="Заголовок 2 5_46EE.2011(v1.0)" xfId="1630"/>
    <cellStyle name="Заголовок 2 6" xfId="1631"/>
    <cellStyle name="Заголовок 2 6 2" xfId="1632"/>
    <cellStyle name="Заголовок 2 6_46EE.2011(v1.0)" xfId="1633"/>
    <cellStyle name="Заголовок 2 7" xfId="1634"/>
    <cellStyle name="Заголовок 2 7 2" xfId="1635"/>
    <cellStyle name="Заголовок 2 7_46EE.2011(v1.0)" xfId="1636"/>
    <cellStyle name="Заголовок 2 8" xfId="1637"/>
    <cellStyle name="Заголовок 2 8 2" xfId="1638"/>
    <cellStyle name="Заголовок 2 8_46EE.2011(v1.0)" xfId="1639"/>
    <cellStyle name="Заголовок 2 9" xfId="1640"/>
    <cellStyle name="Заголовок 2 9 2" xfId="1641"/>
    <cellStyle name="Заголовок 2 9_46EE.2011(v1.0)" xfId="1642"/>
    <cellStyle name="Заголовок 3" xfId="1643"/>
    <cellStyle name="Заголовок 3 10" xfId="1644"/>
    <cellStyle name="Заголовок 3 2" xfId="1645"/>
    <cellStyle name="Заголовок 3 2 2" xfId="1646"/>
    <cellStyle name="Заголовок 3 2_46EE.2011(v1.0)" xfId="1647"/>
    <cellStyle name="Заголовок 3 3" xfId="1648"/>
    <cellStyle name="Заголовок 3 3 2" xfId="1649"/>
    <cellStyle name="Заголовок 3 3_46EE.2011(v1.0)" xfId="1650"/>
    <cellStyle name="Заголовок 3 4" xfId="1651"/>
    <cellStyle name="Заголовок 3 4 2" xfId="1652"/>
    <cellStyle name="Заголовок 3 4_46EE.2011(v1.0)" xfId="1653"/>
    <cellStyle name="Заголовок 3 5" xfId="1654"/>
    <cellStyle name="Заголовок 3 5 2" xfId="1655"/>
    <cellStyle name="Заголовок 3 5_46EE.2011(v1.0)" xfId="1656"/>
    <cellStyle name="Заголовок 3 6" xfId="1657"/>
    <cellStyle name="Заголовок 3 6 2" xfId="1658"/>
    <cellStyle name="Заголовок 3 6_46EE.2011(v1.0)" xfId="1659"/>
    <cellStyle name="Заголовок 3 7" xfId="1660"/>
    <cellStyle name="Заголовок 3 7 2" xfId="1661"/>
    <cellStyle name="Заголовок 3 7_46EE.2011(v1.0)" xfId="1662"/>
    <cellStyle name="Заголовок 3 8" xfId="1663"/>
    <cellStyle name="Заголовок 3 8 2" xfId="1664"/>
    <cellStyle name="Заголовок 3 8_46EE.2011(v1.0)" xfId="1665"/>
    <cellStyle name="Заголовок 3 9" xfId="1666"/>
    <cellStyle name="Заголовок 3 9 2" xfId="1667"/>
    <cellStyle name="Заголовок 3 9_46EE.2011(v1.0)" xfId="1668"/>
    <cellStyle name="Заголовок 4" xfId="1669"/>
    <cellStyle name="Заголовок 4 10" xfId="1670"/>
    <cellStyle name="Заголовок 4 2" xfId="1671"/>
    <cellStyle name="Заголовок 4 2 2" xfId="1672"/>
    <cellStyle name="Заголовок 4 3" xfId="1673"/>
    <cellStyle name="Заголовок 4 3 2" xfId="1674"/>
    <cellStyle name="Заголовок 4 4" xfId="1675"/>
    <cellStyle name="Заголовок 4 4 2" xfId="1676"/>
    <cellStyle name="Заголовок 4 5" xfId="1677"/>
    <cellStyle name="Заголовок 4 5 2" xfId="1678"/>
    <cellStyle name="Заголовок 4 6" xfId="1679"/>
    <cellStyle name="Заголовок 4 6 2" xfId="1680"/>
    <cellStyle name="Заголовок 4 7" xfId="1681"/>
    <cellStyle name="Заголовок 4 7 2" xfId="1682"/>
    <cellStyle name="Заголовок 4 8" xfId="1683"/>
    <cellStyle name="Заголовок 4 8 2" xfId="1684"/>
    <cellStyle name="Заголовок 4 9" xfId="1685"/>
    <cellStyle name="Заголовок 4 9 2" xfId="1686"/>
    <cellStyle name="ЗАГОЛОВОК1" xfId="1687"/>
    <cellStyle name="ЗАГОЛОВОК2" xfId="1688"/>
    <cellStyle name="ЗаголовокСтолбца" xfId="1689"/>
    <cellStyle name="Защитный" xfId="1690"/>
    <cellStyle name="Значение" xfId="1691"/>
    <cellStyle name="Зоголовок" xfId="1692"/>
    <cellStyle name="Итог" xfId="1693"/>
    <cellStyle name="Итог 10" xfId="1694"/>
    <cellStyle name="Итог 2" xfId="1695"/>
    <cellStyle name="Итог 2 2" xfId="1696"/>
    <cellStyle name="Итог 2_46EE.2011(v1.0)" xfId="1697"/>
    <cellStyle name="Итог 3" xfId="1698"/>
    <cellStyle name="Итог 3 2" xfId="1699"/>
    <cellStyle name="Итог 3_46EE.2011(v1.0)" xfId="1700"/>
    <cellStyle name="Итог 4" xfId="1701"/>
    <cellStyle name="Итог 4 2" xfId="1702"/>
    <cellStyle name="Итог 4_46EE.2011(v1.0)" xfId="1703"/>
    <cellStyle name="Итог 5" xfId="1704"/>
    <cellStyle name="Итог 5 2" xfId="1705"/>
    <cellStyle name="Итог 5_46EE.2011(v1.0)" xfId="1706"/>
    <cellStyle name="Итог 6" xfId="1707"/>
    <cellStyle name="Итог 6 2" xfId="1708"/>
    <cellStyle name="Итог 6_46EE.2011(v1.0)" xfId="1709"/>
    <cellStyle name="Итог 7" xfId="1710"/>
    <cellStyle name="Итог 7 2" xfId="1711"/>
    <cellStyle name="Итог 7_46EE.2011(v1.0)" xfId="1712"/>
    <cellStyle name="Итог 8" xfId="1713"/>
    <cellStyle name="Итог 8 2" xfId="1714"/>
    <cellStyle name="Итог 8_46EE.2011(v1.0)" xfId="1715"/>
    <cellStyle name="Итог 9" xfId="1716"/>
    <cellStyle name="Итог 9 2" xfId="1717"/>
    <cellStyle name="Итог 9_46EE.2011(v1.0)" xfId="1718"/>
    <cellStyle name="Итого" xfId="1719"/>
    <cellStyle name="ИТОГОВЫЙ" xfId="1720"/>
    <cellStyle name="ИТОГОВЫЙ 2" xfId="1721"/>
    <cellStyle name="ИТОГОВЫЙ 2 2" xfId="1722"/>
    <cellStyle name="ИТОГОВЫЙ 2_UPDATE.JKH.OPEN.INFO.TARIFF.HVS.TO.4.3.64" xfId="1723"/>
    <cellStyle name="ИТОГОВЫЙ 3" xfId="1724"/>
    <cellStyle name="ИТОГОВЫЙ 3 2" xfId="1725"/>
    <cellStyle name="ИТОГОВЫЙ 3_UPDATE.JKH.OPEN.INFO.TARIFF.HVS.TO.4.3.64" xfId="1726"/>
    <cellStyle name="ИТОГОВЫЙ 4" xfId="1727"/>
    <cellStyle name="ИТОГОВЫЙ 4 2" xfId="1728"/>
    <cellStyle name="ИТОГОВЫЙ 4_UPDATE.JKH.OPEN.INFO.TARIFF.HVS.TO.4.3.64" xfId="1729"/>
    <cellStyle name="ИТОГОВЫЙ 5" xfId="1730"/>
    <cellStyle name="ИТОГОВЫЙ 5 2" xfId="1731"/>
    <cellStyle name="ИТОГОВЫЙ 5_UPDATE.JKH.OPEN.INFO.TARIFF.HVS.TO.4.3.64" xfId="1732"/>
    <cellStyle name="ИТОГОВЫЙ 6" xfId="1733"/>
    <cellStyle name="ИТОГОВЫЙ 6 2" xfId="1734"/>
    <cellStyle name="ИТОГОВЫЙ 6_UPDATE.JKH.OPEN.INFO.TARIFF.HVS.TO.4.3.64" xfId="1735"/>
    <cellStyle name="ИТОГОВЫЙ 7" xfId="1736"/>
    <cellStyle name="ИТОГОВЫЙ 7 2" xfId="1737"/>
    <cellStyle name="ИТОГОВЫЙ 7_UPDATE.JKH.OPEN.INFO.TARIFF.HVS.TO.4.3.64" xfId="1738"/>
    <cellStyle name="ИТОГОВЫЙ 8" xfId="1739"/>
    <cellStyle name="ИТОГОВЫЙ 8 2" xfId="1740"/>
    <cellStyle name="ИТОГОВЫЙ 8_UPDATE.JKH.OPEN.INFO.TARIFF.HVS.TO.4.3.64" xfId="1741"/>
    <cellStyle name="ИТОГОВЫЙ 9" xfId="1742"/>
    <cellStyle name="ИТОГОВЫЙ_1" xfId="1743"/>
    <cellStyle name="Контрольная ячейка" xfId="1744"/>
    <cellStyle name="Контрольная ячейка 10" xfId="1745"/>
    <cellStyle name="Контрольная ячейка 2" xfId="1746"/>
    <cellStyle name="Контрольная ячейка 2 2" xfId="1747"/>
    <cellStyle name="Контрольная ячейка 2_46EE.2011(v1.0)" xfId="1748"/>
    <cellStyle name="Контрольная ячейка 3" xfId="1749"/>
    <cellStyle name="Контрольная ячейка 3 2" xfId="1750"/>
    <cellStyle name="Контрольная ячейка 3_46EE.2011(v1.0)" xfId="1751"/>
    <cellStyle name="Контрольная ячейка 4" xfId="1752"/>
    <cellStyle name="Контрольная ячейка 4 2" xfId="1753"/>
    <cellStyle name="Контрольная ячейка 4_46EE.2011(v1.0)" xfId="1754"/>
    <cellStyle name="Контрольная ячейка 5" xfId="1755"/>
    <cellStyle name="Контрольная ячейка 5 2" xfId="1756"/>
    <cellStyle name="Контрольная ячейка 5_46EE.2011(v1.0)" xfId="1757"/>
    <cellStyle name="Контрольная ячейка 6" xfId="1758"/>
    <cellStyle name="Контрольная ячейка 6 2" xfId="1759"/>
    <cellStyle name="Контрольная ячейка 6_46EE.2011(v1.0)" xfId="1760"/>
    <cellStyle name="Контрольная ячейка 7" xfId="1761"/>
    <cellStyle name="Контрольная ячейка 7 2" xfId="1762"/>
    <cellStyle name="Контрольная ячейка 7_46EE.2011(v1.0)" xfId="1763"/>
    <cellStyle name="Контрольная ячейка 8" xfId="1764"/>
    <cellStyle name="Контрольная ячейка 8 2" xfId="1765"/>
    <cellStyle name="Контрольная ячейка 8_46EE.2011(v1.0)" xfId="1766"/>
    <cellStyle name="Контрольная ячейка 9" xfId="1767"/>
    <cellStyle name="Контрольная ячейка 9 2" xfId="1768"/>
    <cellStyle name="Контрольная ячейка 9_46EE.2011(v1.0)" xfId="1769"/>
    <cellStyle name="Миша (бланки отчетности)" xfId="1770"/>
    <cellStyle name="Мой заголовок" xfId="1771"/>
    <cellStyle name="Мой заголовок листа" xfId="1772"/>
    <cellStyle name="Мои наименования показателей" xfId="1773"/>
    <cellStyle name="Мои наименования показателей 10" xfId="1774"/>
    <cellStyle name="Мои наименования показателей 11" xfId="1775"/>
    <cellStyle name="Мои наименования показателей 2" xfId="1776"/>
    <cellStyle name="Мои наименования показателей 2 2" xfId="1777"/>
    <cellStyle name="Мои наименования показателей 2 2 2" xfId="1778"/>
    <cellStyle name="Мои наименования показателей 2 3" xfId="1779"/>
    <cellStyle name="Мои наименования показателей 2 3 2" xfId="1780"/>
    <cellStyle name="Мои наименования показателей 2 4" xfId="1781"/>
    <cellStyle name="Мои наименования показателей 2 4 2" xfId="1782"/>
    <cellStyle name="Мои наименования показателей 2 5" xfId="1783"/>
    <cellStyle name="Мои наименования показателей 2 5 2" xfId="1784"/>
    <cellStyle name="Мои наименования показателей 2 6" xfId="1785"/>
    <cellStyle name="Мои наименования показателей 2 6 2" xfId="1786"/>
    <cellStyle name="Мои наименования показателей 2 7" xfId="1787"/>
    <cellStyle name="Мои наименования показателей 2 7 2" xfId="1788"/>
    <cellStyle name="Мои наименования показателей 2 8" xfId="1789"/>
    <cellStyle name="Мои наименования показателей 2 8 2" xfId="1790"/>
    <cellStyle name="Мои наименования показателей 2 9" xfId="1791"/>
    <cellStyle name="Мои наименования показателей 2_1" xfId="1792"/>
    <cellStyle name="Мои наименования показателей 3" xfId="1793"/>
    <cellStyle name="Мои наименования показателей 3 2" xfId="1794"/>
    <cellStyle name="Мои наименования показателей 3 2 2" xfId="1795"/>
    <cellStyle name="Мои наименования показателей 3 3" xfId="1796"/>
    <cellStyle name="Мои наименования показателей 3 3 2" xfId="1797"/>
    <cellStyle name="Мои наименования показателей 3 4" xfId="1798"/>
    <cellStyle name="Мои наименования показателей 3 4 2" xfId="1799"/>
    <cellStyle name="Мои наименования показателей 3 5" xfId="1800"/>
    <cellStyle name="Мои наименования показателей 3 5 2" xfId="1801"/>
    <cellStyle name="Мои наименования показателей 3 6" xfId="1802"/>
    <cellStyle name="Мои наименования показателей 3 6 2" xfId="1803"/>
    <cellStyle name="Мои наименования показателей 3 7" xfId="1804"/>
    <cellStyle name="Мои наименования показателей 3 7 2" xfId="1805"/>
    <cellStyle name="Мои наименования показателей 3 8" xfId="1806"/>
    <cellStyle name="Мои наименования показателей 3 8 2" xfId="1807"/>
    <cellStyle name="Мои наименования показателей 3 9" xfId="1808"/>
    <cellStyle name="Мои наименования показателей 3_1" xfId="1809"/>
    <cellStyle name="Мои наименования показателей 4" xfId="1810"/>
    <cellStyle name="Мои наименования показателей 4 2" xfId="1811"/>
    <cellStyle name="Мои наименования показателей 4 2 2" xfId="1812"/>
    <cellStyle name="Мои наименования показателей 4 3" xfId="1813"/>
    <cellStyle name="Мои наименования показателей 4 3 2" xfId="1814"/>
    <cellStyle name="Мои наименования показателей 4 4" xfId="1815"/>
    <cellStyle name="Мои наименования показателей 4 4 2" xfId="1816"/>
    <cellStyle name="Мои наименования показателей 4 5" xfId="1817"/>
    <cellStyle name="Мои наименования показателей 4 5 2" xfId="1818"/>
    <cellStyle name="Мои наименования показателей 4 6" xfId="1819"/>
    <cellStyle name="Мои наименования показателей 4 6 2" xfId="1820"/>
    <cellStyle name="Мои наименования показателей 4 7" xfId="1821"/>
    <cellStyle name="Мои наименования показателей 4 7 2" xfId="1822"/>
    <cellStyle name="Мои наименования показателей 4 8" xfId="1823"/>
    <cellStyle name="Мои наименования показателей 4 8 2" xfId="1824"/>
    <cellStyle name="Мои наименования показателей 4 9" xfId="1825"/>
    <cellStyle name="Мои наименования показателей 4_1" xfId="1826"/>
    <cellStyle name="Мои наименования показателей 5" xfId="1827"/>
    <cellStyle name="Мои наименования показателей 5 2" xfId="1828"/>
    <cellStyle name="Мои наименования показателей 5 2 2" xfId="1829"/>
    <cellStyle name="Мои наименования показателей 5 3" xfId="1830"/>
    <cellStyle name="Мои наименования показателей 5 3 2" xfId="1831"/>
    <cellStyle name="Мои наименования показателей 5 4" xfId="1832"/>
    <cellStyle name="Мои наименования показателей 5 4 2" xfId="1833"/>
    <cellStyle name="Мои наименования показателей 5 5" xfId="1834"/>
    <cellStyle name="Мои наименования показателей 5 5 2" xfId="1835"/>
    <cellStyle name="Мои наименования показателей 5 6" xfId="1836"/>
    <cellStyle name="Мои наименования показателей 5 6 2" xfId="1837"/>
    <cellStyle name="Мои наименования показателей 5 7" xfId="1838"/>
    <cellStyle name="Мои наименования показателей 5 7 2" xfId="1839"/>
    <cellStyle name="Мои наименования показателей 5 8" xfId="1840"/>
    <cellStyle name="Мои наименования показателей 5 8 2" xfId="1841"/>
    <cellStyle name="Мои наименования показателей 5 9" xfId="1842"/>
    <cellStyle name="Мои наименования показателей 5_1" xfId="1843"/>
    <cellStyle name="Мои наименования показателей 6" xfId="1844"/>
    <cellStyle name="Мои наименования показателей 6 2" xfId="1845"/>
    <cellStyle name="Мои наименования показателей 6 2 2" xfId="1846"/>
    <cellStyle name="Мои наименования показателей 6 3" xfId="1847"/>
    <cellStyle name="Мои наименования показателей 6_46EE.2011(v1.0)" xfId="1848"/>
    <cellStyle name="Мои наименования показателей 7" xfId="1849"/>
    <cellStyle name="Мои наименования показателей 7 2" xfId="1850"/>
    <cellStyle name="Мои наименования показателей 7 2 2" xfId="1851"/>
    <cellStyle name="Мои наименования показателей 7 3" xfId="1852"/>
    <cellStyle name="Мои наименования показателей 7_46EE.2011(v1.0)" xfId="1853"/>
    <cellStyle name="Мои наименования показателей 8" xfId="1854"/>
    <cellStyle name="Мои наименования показателей 8 2" xfId="1855"/>
    <cellStyle name="Мои наименования показателей 8 2 2" xfId="1856"/>
    <cellStyle name="Мои наименования показателей 8 3" xfId="1857"/>
    <cellStyle name="Мои наименования показателей 8_46EE.2011(v1.0)" xfId="1858"/>
    <cellStyle name="Мои наименования показателей 9" xfId="1859"/>
    <cellStyle name="Мои наименования показателей_46EE.2011" xfId="1860"/>
    <cellStyle name="назв фил" xfId="1861"/>
    <cellStyle name="Название" xfId="1862"/>
    <cellStyle name="Название 10" xfId="1863"/>
    <cellStyle name="Название 2" xfId="1864"/>
    <cellStyle name="Название 2 2" xfId="1865"/>
    <cellStyle name="Название 3" xfId="1866"/>
    <cellStyle name="Название 3 2" xfId="1867"/>
    <cellStyle name="Название 4" xfId="1868"/>
    <cellStyle name="Название 4 2" xfId="1869"/>
    <cellStyle name="Название 5" xfId="1870"/>
    <cellStyle name="Название 5 2" xfId="1871"/>
    <cellStyle name="Название 6" xfId="1872"/>
    <cellStyle name="Название 6 2" xfId="1873"/>
    <cellStyle name="Название 7" xfId="1874"/>
    <cellStyle name="Название 7 2" xfId="1875"/>
    <cellStyle name="Название 8" xfId="1876"/>
    <cellStyle name="Название 8 2" xfId="1877"/>
    <cellStyle name="Название 9" xfId="1878"/>
    <cellStyle name="Название 9 2" xfId="1879"/>
    <cellStyle name="Невидимый" xfId="1880"/>
    <cellStyle name="Нейтральный" xfId="1881"/>
    <cellStyle name="Нейтральный 10" xfId="1882"/>
    <cellStyle name="Нейтральный 2" xfId="1883"/>
    <cellStyle name="Нейтральный 2 2" xfId="1884"/>
    <cellStyle name="Нейтральный 3" xfId="1885"/>
    <cellStyle name="Нейтральный 3 2" xfId="1886"/>
    <cellStyle name="Нейтральный 4" xfId="1887"/>
    <cellStyle name="Нейтральный 4 2" xfId="1888"/>
    <cellStyle name="Нейтральный 5" xfId="1889"/>
    <cellStyle name="Нейтральный 5 2" xfId="1890"/>
    <cellStyle name="Нейтральный 6" xfId="1891"/>
    <cellStyle name="Нейтральный 6 2" xfId="1892"/>
    <cellStyle name="Нейтральный 7" xfId="1893"/>
    <cellStyle name="Нейтральный 7 2" xfId="1894"/>
    <cellStyle name="Нейтральный 8" xfId="1895"/>
    <cellStyle name="Нейтральный 8 2" xfId="1896"/>
    <cellStyle name="Нейтральный 9" xfId="1897"/>
    <cellStyle name="Нейтральный 9 2" xfId="1898"/>
    <cellStyle name="Низ1" xfId="1899"/>
    <cellStyle name="Низ2" xfId="1900"/>
    <cellStyle name="Обычный 10" xfId="1901"/>
    <cellStyle name="Обычный 11" xfId="1902"/>
    <cellStyle name="Обычный 11 2" xfId="1903"/>
    <cellStyle name="Обычный 11_INDEX.STATION.2012(v1.0)_" xfId="1904"/>
    <cellStyle name="Обычный 12" xfId="1905"/>
    <cellStyle name="Обычный 13" xfId="1906"/>
    <cellStyle name="Обычный 14" xfId="1907"/>
    <cellStyle name="Обычный 15" xfId="1908"/>
    <cellStyle name="Обычный 16" xfId="1909"/>
    <cellStyle name="Обычный 17" xfId="1910"/>
    <cellStyle name="Обычный 2" xfId="1911"/>
    <cellStyle name="Обычный 2 10" xfId="1912"/>
    <cellStyle name="Обычный 2 11" xfId="1913"/>
    <cellStyle name="Обычный 2 12" xfId="1914"/>
    <cellStyle name="Обычный 2 2" xfId="1915"/>
    <cellStyle name="Обычный 2 2 2" xfId="1916"/>
    <cellStyle name="Обычный 2 2 2 2" xfId="1917"/>
    <cellStyle name="Обычный 2 2 3" xfId="1918"/>
    <cellStyle name="Обычный 2 2_46EE.2011(v1.0)" xfId="1919"/>
    <cellStyle name="Обычный 2 3" xfId="1920"/>
    <cellStyle name="Обычный 2 3 2" xfId="1921"/>
    <cellStyle name="Обычный 2 3 2 2" xfId="1922"/>
    <cellStyle name="Обычный 2 3 3" xfId="1923"/>
    <cellStyle name="Обычный 2 3_46EE.2011(v1.0)" xfId="1924"/>
    <cellStyle name="Обычный 2 4" xfId="1925"/>
    <cellStyle name="Обычный 2 4 2" xfId="1926"/>
    <cellStyle name="Обычный 2 4 2 2" xfId="1927"/>
    <cellStyle name="Обычный 2 4 3" xfId="1928"/>
    <cellStyle name="Обычный 2 4_46EE.2011(v1.0)" xfId="1929"/>
    <cellStyle name="Обычный 2 5" xfId="1930"/>
    <cellStyle name="Обычный 2 5 2" xfId="1931"/>
    <cellStyle name="Обычный 2 5 2 2" xfId="1932"/>
    <cellStyle name="Обычный 2 5 3" xfId="1933"/>
    <cellStyle name="Обычный 2 5_46EE.2011(v1.0)" xfId="1934"/>
    <cellStyle name="Обычный 2 6" xfId="1935"/>
    <cellStyle name="Обычный 2 6 2" xfId="1936"/>
    <cellStyle name="Обычный 2 6 2 2" xfId="1937"/>
    <cellStyle name="Обычный 2 6 3" xfId="1938"/>
    <cellStyle name="Обычный 2 6_46EE.2011(v1.0)" xfId="1939"/>
    <cellStyle name="Обычный 2 7" xfId="1940"/>
    <cellStyle name="Обычный 2 8" xfId="1941"/>
    <cellStyle name="Обычный 2 9" xfId="1942"/>
    <cellStyle name="Обычный 2_1" xfId="1943"/>
    <cellStyle name="Обычный 3" xfId="1944"/>
    <cellStyle name="Обычный 3 2" xfId="1945"/>
    <cellStyle name="Обычный 3 3" xfId="1946"/>
    <cellStyle name="Обычный 3 4" xfId="1947"/>
    <cellStyle name="Обычный 4" xfId="1948"/>
    <cellStyle name="Обычный 4 2" xfId="1949"/>
    <cellStyle name="Обычный 4 2 2" xfId="1950"/>
    <cellStyle name="Обычный 4 2 3" xfId="1951"/>
    <cellStyle name="Обычный 4 2 4" xfId="1952"/>
    <cellStyle name="Обычный 4 2_BALANCE.WARM.2011YEAR(v1.5)" xfId="1953"/>
    <cellStyle name="Обычный 4_EE.20.MET.SVOD.2.73_v0.1" xfId="1954"/>
    <cellStyle name="Обычный 5" xfId="1955"/>
    <cellStyle name="Обычный 6" xfId="1956"/>
    <cellStyle name="Обычный 7" xfId="1957"/>
    <cellStyle name="Обычный 8" xfId="1958"/>
    <cellStyle name="Обычный 9" xfId="1959"/>
    <cellStyle name="Followed Hyperlink" xfId="1960"/>
    <cellStyle name="Ошибка" xfId="1961"/>
    <cellStyle name="Плохой" xfId="1962"/>
    <cellStyle name="Плохой 10" xfId="1963"/>
    <cellStyle name="Плохой 2" xfId="1964"/>
    <cellStyle name="Плохой 2 2" xfId="1965"/>
    <cellStyle name="Плохой 3" xfId="1966"/>
    <cellStyle name="Плохой 3 2" xfId="1967"/>
    <cellStyle name="Плохой 4" xfId="1968"/>
    <cellStyle name="Плохой 4 2" xfId="1969"/>
    <cellStyle name="Плохой 5" xfId="1970"/>
    <cellStyle name="Плохой 5 2" xfId="1971"/>
    <cellStyle name="Плохой 6" xfId="1972"/>
    <cellStyle name="Плохой 6 2" xfId="1973"/>
    <cellStyle name="Плохой 7" xfId="1974"/>
    <cellStyle name="Плохой 7 2" xfId="1975"/>
    <cellStyle name="Плохой 8" xfId="1976"/>
    <cellStyle name="Плохой 8 2" xfId="1977"/>
    <cellStyle name="Плохой 9" xfId="1978"/>
    <cellStyle name="Плохой 9 2" xfId="1979"/>
    <cellStyle name="По центру с переносом" xfId="1980"/>
    <cellStyle name="По центру с переносом 2" xfId="1981"/>
    <cellStyle name="По центру с переносом 3" xfId="1982"/>
    <cellStyle name="По центру с переносом 4" xfId="1983"/>
    <cellStyle name="По ширине с переносом" xfId="1984"/>
    <cellStyle name="По ширине с переносом 2" xfId="1985"/>
    <cellStyle name="По ширине с переносом 3" xfId="1986"/>
    <cellStyle name="По ширине с переносом 4" xfId="1987"/>
    <cellStyle name="Подгруппа" xfId="1988"/>
    <cellStyle name="Поле ввода" xfId="1989"/>
    <cellStyle name="Пояснение" xfId="1990"/>
    <cellStyle name="Пояснение 10" xfId="1991"/>
    <cellStyle name="Пояснение 2" xfId="1992"/>
    <cellStyle name="Пояснение 2 2" xfId="1993"/>
    <cellStyle name="Пояснение 3" xfId="1994"/>
    <cellStyle name="Пояснение 3 2" xfId="1995"/>
    <cellStyle name="Пояснение 4" xfId="1996"/>
    <cellStyle name="Пояснение 4 2" xfId="1997"/>
    <cellStyle name="Пояснение 5" xfId="1998"/>
    <cellStyle name="Пояснение 5 2" xfId="1999"/>
    <cellStyle name="Пояснение 6" xfId="2000"/>
    <cellStyle name="Пояснение 6 2" xfId="2001"/>
    <cellStyle name="Пояснение 7" xfId="2002"/>
    <cellStyle name="Пояснение 7 2" xfId="2003"/>
    <cellStyle name="Пояснение 8" xfId="2004"/>
    <cellStyle name="Пояснение 8 2" xfId="2005"/>
    <cellStyle name="Пояснение 9" xfId="2006"/>
    <cellStyle name="Пояснение 9 2" xfId="2007"/>
    <cellStyle name="Примечание" xfId="2008"/>
    <cellStyle name="Примечание 10" xfId="2009"/>
    <cellStyle name="Примечание 10 2" xfId="2010"/>
    <cellStyle name="Примечание 10 3" xfId="2011"/>
    <cellStyle name="Примечание 10 4" xfId="2012"/>
    <cellStyle name="Примечание 10_46EE.2011(v1.0)" xfId="2013"/>
    <cellStyle name="Примечание 11" xfId="2014"/>
    <cellStyle name="Примечание 11 2" xfId="2015"/>
    <cellStyle name="Примечание 11 3" xfId="2016"/>
    <cellStyle name="Примечание 11 4" xfId="2017"/>
    <cellStyle name="Примечание 11_46EE.2011(v1.0)" xfId="2018"/>
    <cellStyle name="Примечание 12" xfId="2019"/>
    <cellStyle name="Примечание 12 2" xfId="2020"/>
    <cellStyle name="Примечание 12 3" xfId="2021"/>
    <cellStyle name="Примечание 12 4" xfId="2022"/>
    <cellStyle name="Примечание 12_46EE.2011(v1.0)" xfId="2023"/>
    <cellStyle name="Примечание 13" xfId="2024"/>
    <cellStyle name="Примечание 14" xfId="2025"/>
    <cellStyle name="Примечание 15" xfId="2026"/>
    <cellStyle name="Примечание 16" xfId="2027"/>
    <cellStyle name="Примечание 17" xfId="2028"/>
    <cellStyle name="Примечание 18" xfId="2029"/>
    <cellStyle name="Примечание 19" xfId="2030"/>
    <cellStyle name="Примечание 2" xfId="2031"/>
    <cellStyle name="Примечание 2 2" xfId="2032"/>
    <cellStyle name="Примечание 2 2 2" xfId="2033"/>
    <cellStyle name="Примечание 2 2_UPDATE.JKH.OPEN.INFO.TARIFF.HVS.TO.4.3.64" xfId="2034"/>
    <cellStyle name="Примечание 2 3" xfId="2035"/>
    <cellStyle name="Примечание 2 3 2" xfId="2036"/>
    <cellStyle name="Примечание 2 3_UPDATE.JKH.OPEN.INFO.TARIFF.HVS.TO.4.3.64" xfId="2037"/>
    <cellStyle name="Примечание 2 4" xfId="2038"/>
    <cellStyle name="Примечание 2 4 2" xfId="2039"/>
    <cellStyle name="Примечание 2 4_UPDATE.JKH.OPEN.INFO.TARIFF.HVS.TO.4.3.64" xfId="2040"/>
    <cellStyle name="Примечание 2 5" xfId="2041"/>
    <cellStyle name="Примечание 2 5 2" xfId="2042"/>
    <cellStyle name="Примечание 2 5_UPDATE.JKH.OPEN.INFO.TARIFF.HVS.TO.4.3.64" xfId="2043"/>
    <cellStyle name="Примечание 2 6" xfId="2044"/>
    <cellStyle name="Примечание 2 6 2" xfId="2045"/>
    <cellStyle name="Примечание 2 6_UPDATE.JKH.OPEN.INFO.TARIFF.HVS.TO.4.3.64" xfId="2046"/>
    <cellStyle name="Примечание 2 7" xfId="2047"/>
    <cellStyle name="Примечание 2 7 2" xfId="2048"/>
    <cellStyle name="Примечание 2 7_UPDATE.JKH.OPEN.INFO.TARIFF.HVS.TO.4.3.64" xfId="2049"/>
    <cellStyle name="Примечание 2 8" xfId="2050"/>
    <cellStyle name="Примечание 2 8 2" xfId="2051"/>
    <cellStyle name="Примечание 2 8_UPDATE.JKH.OPEN.INFO.TARIFF.HVS.TO.4.3.64" xfId="2052"/>
    <cellStyle name="Примечание 2 9" xfId="2053"/>
    <cellStyle name="Примечание 2_46EE.2011(v1.0)" xfId="2054"/>
    <cellStyle name="Примечание 20" xfId="2055"/>
    <cellStyle name="Примечание 21" xfId="2056"/>
    <cellStyle name="Примечание 22" xfId="2057"/>
    <cellStyle name="Примечание 23" xfId="2058"/>
    <cellStyle name="Примечание 3" xfId="2059"/>
    <cellStyle name="Примечание 3 2" xfId="2060"/>
    <cellStyle name="Примечание 3 2 2" xfId="2061"/>
    <cellStyle name="Примечание 3 2_UPDATE.JKH.OPEN.INFO.TARIFF.HVS.TO.4.3.64" xfId="2062"/>
    <cellStyle name="Примечание 3 3" xfId="2063"/>
    <cellStyle name="Примечание 3 3 2" xfId="2064"/>
    <cellStyle name="Примечание 3 3_UPDATE.JKH.OPEN.INFO.TARIFF.HVS.TO.4.3.64" xfId="2065"/>
    <cellStyle name="Примечание 3 4" xfId="2066"/>
    <cellStyle name="Примечание 3 4 2" xfId="2067"/>
    <cellStyle name="Примечание 3 4_UPDATE.JKH.OPEN.INFO.TARIFF.HVS.TO.4.3.64" xfId="2068"/>
    <cellStyle name="Примечание 3 5" xfId="2069"/>
    <cellStyle name="Примечание 3 5 2" xfId="2070"/>
    <cellStyle name="Примечание 3 5_UPDATE.JKH.OPEN.INFO.TARIFF.HVS.TO.4.3.64" xfId="2071"/>
    <cellStyle name="Примечание 3 6" xfId="2072"/>
    <cellStyle name="Примечание 3 6 2" xfId="2073"/>
    <cellStyle name="Примечание 3 6_UPDATE.JKH.OPEN.INFO.TARIFF.HVS.TO.4.3.64" xfId="2074"/>
    <cellStyle name="Примечание 3 7" xfId="2075"/>
    <cellStyle name="Примечание 3 7 2" xfId="2076"/>
    <cellStyle name="Примечание 3 7_UPDATE.JKH.OPEN.INFO.TARIFF.HVS.TO.4.3.64" xfId="2077"/>
    <cellStyle name="Примечание 3 8" xfId="2078"/>
    <cellStyle name="Примечание 3 8 2" xfId="2079"/>
    <cellStyle name="Примечание 3 8_UPDATE.JKH.OPEN.INFO.TARIFF.HVS.TO.4.3.64" xfId="2080"/>
    <cellStyle name="Примечание 3 9" xfId="2081"/>
    <cellStyle name="Примечание 3_46EE.2011(v1.0)" xfId="2082"/>
    <cellStyle name="Примечание 4" xfId="2083"/>
    <cellStyle name="Примечание 4 2" xfId="2084"/>
    <cellStyle name="Примечание 4 2 2" xfId="2085"/>
    <cellStyle name="Примечание 4 2_UPDATE.JKH.OPEN.INFO.TARIFF.HVS.TO.4.3.64" xfId="2086"/>
    <cellStyle name="Примечание 4 3" xfId="2087"/>
    <cellStyle name="Примечание 4 3 2" xfId="2088"/>
    <cellStyle name="Примечание 4 3_UPDATE.JKH.OPEN.INFO.TARIFF.HVS.TO.4.3.64" xfId="2089"/>
    <cellStyle name="Примечание 4 4" xfId="2090"/>
    <cellStyle name="Примечание 4 4 2" xfId="2091"/>
    <cellStyle name="Примечание 4 4_UPDATE.JKH.OPEN.INFO.TARIFF.HVS.TO.4.3.64" xfId="2092"/>
    <cellStyle name="Примечание 4 5" xfId="2093"/>
    <cellStyle name="Примечание 4 5 2" xfId="2094"/>
    <cellStyle name="Примечание 4 5_UPDATE.JKH.OPEN.INFO.TARIFF.HVS.TO.4.3.64" xfId="2095"/>
    <cellStyle name="Примечание 4 6" xfId="2096"/>
    <cellStyle name="Примечание 4 6 2" xfId="2097"/>
    <cellStyle name="Примечание 4 6_UPDATE.JKH.OPEN.INFO.TARIFF.HVS.TO.4.3.64" xfId="2098"/>
    <cellStyle name="Примечание 4 7" xfId="2099"/>
    <cellStyle name="Примечание 4 7 2" xfId="2100"/>
    <cellStyle name="Примечание 4 7_UPDATE.JKH.OPEN.INFO.TARIFF.HVS.TO.4.3.64" xfId="2101"/>
    <cellStyle name="Примечание 4 8" xfId="2102"/>
    <cellStyle name="Примечание 4 8 2" xfId="2103"/>
    <cellStyle name="Примечание 4 8_UPDATE.JKH.OPEN.INFO.TARIFF.HVS.TO.4.3.64" xfId="2104"/>
    <cellStyle name="Примечание 4 9" xfId="2105"/>
    <cellStyle name="Примечание 4_46EE.2011(v1.0)" xfId="2106"/>
    <cellStyle name="Примечание 5" xfId="2107"/>
    <cellStyle name="Примечание 5 2" xfId="2108"/>
    <cellStyle name="Примечание 5 2 2" xfId="2109"/>
    <cellStyle name="Примечание 5 2_UPDATE.JKH.OPEN.INFO.TARIFF.HVS.TO.4.3.64" xfId="2110"/>
    <cellStyle name="Примечание 5 3" xfId="2111"/>
    <cellStyle name="Примечание 5 3 2" xfId="2112"/>
    <cellStyle name="Примечание 5 3_UPDATE.JKH.OPEN.INFO.TARIFF.HVS.TO.4.3.64" xfId="2113"/>
    <cellStyle name="Примечание 5 4" xfId="2114"/>
    <cellStyle name="Примечание 5 4 2" xfId="2115"/>
    <cellStyle name="Примечание 5 4_UPDATE.JKH.OPEN.INFO.TARIFF.HVS.TO.4.3.64" xfId="2116"/>
    <cellStyle name="Примечание 5 5" xfId="2117"/>
    <cellStyle name="Примечание 5 5 2" xfId="2118"/>
    <cellStyle name="Примечание 5 5_UPDATE.JKH.OPEN.INFO.TARIFF.HVS.TO.4.3.64" xfId="2119"/>
    <cellStyle name="Примечание 5 6" xfId="2120"/>
    <cellStyle name="Примечание 5 6 2" xfId="2121"/>
    <cellStyle name="Примечание 5 6_UPDATE.JKH.OPEN.INFO.TARIFF.HVS.TO.4.3.64" xfId="2122"/>
    <cellStyle name="Примечание 5 7" xfId="2123"/>
    <cellStyle name="Примечание 5 7 2" xfId="2124"/>
    <cellStyle name="Примечание 5 7_UPDATE.JKH.OPEN.INFO.TARIFF.HVS.TO.4.3.64" xfId="2125"/>
    <cellStyle name="Примечание 5 8" xfId="2126"/>
    <cellStyle name="Примечание 5 8 2" xfId="2127"/>
    <cellStyle name="Примечание 5 8_UPDATE.JKH.OPEN.INFO.TARIFF.HVS.TO.4.3.64" xfId="2128"/>
    <cellStyle name="Примечание 5 9" xfId="2129"/>
    <cellStyle name="Примечание 5_46EE.2011(v1.0)" xfId="2130"/>
    <cellStyle name="Примечание 6" xfId="2131"/>
    <cellStyle name="Примечание 6 2" xfId="2132"/>
    <cellStyle name="Примечание 6 2 2" xfId="2133"/>
    <cellStyle name="Примечание 6 2_UPDATE.JKH.OPEN.INFO.TARIFF.HVS.TO.4.3.64" xfId="2134"/>
    <cellStyle name="Примечание 6 3" xfId="2135"/>
    <cellStyle name="Примечание 6_46EE.2011(v1.0)" xfId="2136"/>
    <cellStyle name="Примечание 7" xfId="2137"/>
    <cellStyle name="Примечание 7 2" xfId="2138"/>
    <cellStyle name="Примечание 7 2 2" xfId="2139"/>
    <cellStyle name="Примечание 7 2_UPDATE.JKH.OPEN.INFO.TARIFF.HVS.TO.4.3.64" xfId="2140"/>
    <cellStyle name="Примечание 7 3" xfId="2141"/>
    <cellStyle name="Примечание 7_46EE.2011(v1.0)" xfId="2142"/>
    <cellStyle name="Примечание 8" xfId="2143"/>
    <cellStyle name="Примечание 8 2" xfId="2144"/>
    <cellStyle name="Примечание 8 2 2" xfId="2145"/>
    <cellStyle name="Примечание 8 2_UPDATE.JKH.OPEN.INFO.TARIFF.HVS.TO.4.3.64" xfId="2146"/>
    <cellStyle name="Примечание 8 3" xfId="2147"/>
    <cellStyle name="Примечание 8_46EE.2011(v1.0)" xfId="2148"/>
    <cellStyle name="Примечание 9" xfId="2149"/>
    <cellStyle name="Примечание 9 2" xfId="2150"/>
    <cellStyle name="Примечание 9 2 2" xfId="2151"/>
    <cellStyle name="Примечание 9 2_UPDATE.JKH.OPEN.INFO.TARIFF.HVS.TO.4.3.64" xfId="2152"/>
    <cellStyle name="Примечание 9 3" xfId="2153"/>
    <cellStyle name="Примечание 9_46EE.2011(v1.0)" xfId="2154"/>
    <cellStyle name="Продукт" xfId="2155"/>
    <cellStyle name="Percent" xfId="2156"/>
    <cellStyle name="Процентный 10" xfId="2157"/>
    <cellStyle name="Процентный 2" xfId="2158"/>
    <cellStyle name="Процентный 2 2" xfId="2159"/>
    <cellStyle name="Процентный 2 2 2" xfId="2160"/>
    <cellStyle name="Процентный 2 2 3" xfId="2161"/>
    <cellStyle name="Процентный 2 2 4" xfId="2162"/>
    <cellStyle name="Процентный 2 3" xfId="2163"/>
    <cellStyle name="Процентный 2 3 2" xfId="2164"/>
    <cellStyle name="Процентный 2 3 3" xfId="2165"/>
    <cellStyle name="Процентный 2 3 4" xfId="2166"/>
    <cellStyle name="Процентный 2 4" xfId="2167"/>
    <cellStyle name="Процентный 2 5" xfId="2168"/>
    <cellStyle name="Процентный 2 6" xfId="2169"/>
    <cellStyle name="Процентный 3" xfId="2170"/>
    <cellStyle name="Процентный 3 2" xfId="2171"/>
    <cellStyle name="Процентный 3 3" xfId="2172"/>
    <cellStyle name="Процентный 3 4" xfId="2173"/>
    <cellStyle name="Процентный 4" xfId="2174"/>
    <cellStyle name="Процентный 4 2" xfId="2175"/>
    <cellStyle name="Процентный 4 3" xfId="2176"/>
    <cellStyle name="Процентный 4 4" xfId="2177"/>
    <cellStyle name="Процентный 5" xfId="2178"/>
    <cellStyle name="Процентный 9" xfId="2179"/>
    <cellStyle name="Разница" xfId="2180"/>
    <cellStyle name="Рамки" xfId="2181"/>
    <cellStyle name="Сводная таблица" xfId="2182"/>
    <cellStyle name="Связанная ячейка" xfId="2183"/>
    <cellStyle name="Связанная ячейка 10" xfId="2184"/>
    <cellStyle name="Связанная ячейка 2" xfId="2185"/>
    <cellStyle name="Связанная ячейка 2 2" xfId="2186"/>
    <cellStyle name="Связанная ячейка 2_46EE.2011(v1.0)" xfId="2187"/>
    <cellStyle name="Связанная ячейка 3" xfId="2188"/>
    <cellStyle name="Связанная ячейка 3 2" xfId="2189"/>
    <cellStyle name="Связанная ячейка 3_46EE.2011(v1.0)" xfId="2190"/>
    <cellStyle name="Связанная ячейка 4" xfId="2191"/>
    <cellStyle name="Связанная ячейка 4 2" xfId="2192"/>
    <cellStyle name="Связанная ячейка 4_46EE.2011(v1.0)" xfId="2193"/>
    <cellStyle name="Связанная ячейка 5" xfId="2194"/>
    <cellStyle name="Связанная ячейка 5 2" xfId="2195"/>
    <cellStyle name="Связанная ячейка 5_46EE.2011(v1.0)" xfId="2196"/>
    <cellStyle name="Связанная ячейка 6" xfId="2197"/>
    <cellStyle name="Связанная ячейка 6 2" xfId="2198"/>
    <cellStyle name="Связанная ячейка 6_46EE.2011(v1.0)" xfId="2199"/>
    <cellStyle name="Связанная ячейка 7" xfId="2200"/>
    <cellStyle name="Связанная ячейка 7 2" xfId="2201"/>
    <cellStyle name="Связанная ячейка 7_46EE.2011(v1.0)" xfId="2202"/>
    <cellStyle name="Связанная ячейка 8" xfId="2203"/>
    <cellStyle name="Связанная ячейка 8 2" xfId="2204"/>
    <cellStyle name="Связанная ячейка 8_46EE.2011(v1.0)" xfId="2205"/>
    <cellStyle name="Связанная ячейка 9" xfId="2206"/>
    <cellStyle name="Связанная ячейка 9 2" xfId="2207"/>
    <cellStyle name="Связанная ячейка 9_46EE.2011(v1.0)" xfId="2208"/>
    <cellStyle name="Стиль 1" xfId="2209"/>
    <cellStyle name="Стиль 1 2" xfId="2210"/>
    <cellStyle name="Стиль 1 2 2" xfId="2211"/>
    <cellStyle name="Стиль 1 2_EE.2REK.P2011.4.78(v0.3)" xfId="2212"/>
    <cellStyle name="Стиль 2" xfId="2213"/>
    <cellStyle name="Субсчет" xfId="2214"/>
    <cellStyle name="Счет" xfId="2215"/>
    <cellStyle name="ТЕКСТ" xfId="2216"/>
    <cellStyle name="ТЕКСТ 2" xfId="2217"/>
    <cellStyle name="ТЕКСТ 2 2" xfId="2218"/>
    <cellStyle name="ТЕКСТ 3" xfId="2219"/>
    <cellStyle name="ТЕКСТ 3 2" xfId="2220"/>
    <cellStyle name="ТЕКСТ 4" xfId="2221"/>
    <cellStyle name="ТЕКСТ 4 2" xfId="2222"/>
    <cellStyle name="ТЕКСТ 5" xfId="2223"/>
    <cellStyle name="ТЕКСТ 5 2" xfId="2224"/>
    <cellStyle name="ТЕКСТ 6" xfId="2225"/>
    <cellStyle name="ТЕКСТ 6 2" xfId="2226"/>
    <cellStyle name="ТЕКСТ 7" xfId="2227"/>
    <cellStyle name="ТЕКСТ 7 2" xfId="2228"/>
    <cellStyle name="ТЕКСТ 8" xfId="2229"/>
    <cellStyle name="ТЕКСТ 8 2" xfId="2230"/>
    <cellStyle name="ТЕКСТ 9" xfId="2231"/>
    <cellStyle name="Текст предупреждения" xfId="2232"/>
    <cellStyle name="Текст предупреждения 10" xfId="2233"/>
    <cellStyle name="Текст предупреждения 2" xfId="2234"/>
    <cellStyle name="Текст предупреждения 2 2" xfId="2235"/>
    <cellStyle name="Текст предупреждения 3" xfId="2236"/>
    <cellStyle name="Текст предупреждения 3 2" xfId="2237"/>
    <cellStyle name="Текст предупреждения 4" xfId="2238"/>
    <cellStyle name="Текст предупреждения 4 2" xfId="2239"/>
    <cellStyle name="Текст предупреждения 5" xfId="2240"/>
    <cellStyle name="Текст предупреждения 5 2" xfId="2241"/>
    <cellStyle name="Текст предупреждения 6" xfId="2242"/>
    <cellStyle name="Текст предупреждения 6 2" xfId="2243"/>
    <cellStyle name="Текст предупреждения 7" xfId="2244"/>
    <cellStyle name="Текст предупреждения 7 2" xfId="2245"/>
    <cellStyle name="Текст предупреждения 8" xfId="2246"/>
    <cellStyle name="Текст предупреждения 8 2" xfId="2247"/>
    <cellStyle name="Текст предупреждения 9" xfId="2248"/>
    <cellStyle name="Текст предупреждения 9 2" xfId="2249"/>
    <cellStyle name="Текстовый" xfId="2250"/>
    <cellStyle name="Текстовый 10" xfId="2251"/>
    <cellStyle name="Текстовый 11" xfId="2252"/>
    <cellStyle name="Текстовый 12" xfId="2253"/>
    <cellStyle name="Текстовый 13" xfId="2254"/>
    <cellStyle name="Текстовый 14" xfId="2255"/>
    <cellStyle name="Текстовый 15" xfId="2256"/>
    <cellStyle name="Текстовый 16" xfId="2257"/>
    <cellStyle name="Текстовый 2" xfId="2258"/>
    <cellStyle name="Текстовый 2 2" xfId="2259"/>
    <cellStyle name="Текстовый 3" xfId="2260"/>
    <cellStyle name="Текстовый 3 2" xfId="2261"/>
    <cellStyle name="Текстовый 4" xfId="2262"/>
    <cellStyle name="Текстовый 4 2" xfId="2263"/>
    <cellStyle name="Текстовый 5" xfId="2264"/>
    <cellStyle name="Текстовый 5 2" xfId="2265"/>
    <cellStyle name="Текстовый 6" xfId="2266"/>
    <cellStyle name="Текстовый 6 2" xfId="2267"/>
    <cellStyle name="Текстовый 7" xfId="2268"/>
    <cellStyle name="Текстовый 7 2" xfId="2269"/>
    <cellStyle name="Текстовый 8" xfId="2270"/>
    <cellStyle name="Текстовый 8 2" xfId="2271"/>
    <cellStyle name="Текстовый 9" xfId="2272"/>
    <cellStyle name="Текстовый_1" xfId="2273"/>
    <cellStyle name="Тысячи [0]_22гк" xfId="2274"/>
    <cellStyle name="Тысячи_22гк" xfId="2275"/>
    <cellStyle name="ФИКСИРОВАННЫЙ" xfId="2276"/>
    <cellStyle name="ФИКСИРОВАННЫЙ 2" xfId="2277"/>
    <cellStyle name="ФИКСИРОВАННЫЙ 2 2" xfId="2278"/>
    <cellStyle name="ФИКСИРОВАННЫЙ 3" xfId="2279"/>
    <cellStyle name="ФИКСИРОВАННЫЙ 3 2" xfId="2280"/>
    <cellStyle name="ФИКСИРОВАННЫЙ 4" xfId="2281"/>
    <cellStyle name="ФИКСИРОВАННЫЙ 4 2" xfId="2282"/>
    <cellStyle name="ФИКСИРОВАННЫЙ 5" xfId="2283"/>
    <cellStyle name="ФИКСИРОВАННЫЙ 5 2" xfId="2284"/>
    <cellStyle name="ФИКСИРОВАННЫЙ 6" xfId="2285"/>
    <cellStyle name="ФИКСИРОВАННЫЙ 6 2" xfId="2286"/>
    <cellStyle name="ФИКСИРОВАННЫЙ 7" xfId="2287"/>
    <cellStyle name="ФИКСИРОВАННЫЙ 7 2" xfId="2288"/>
    <cellStyle name="ФИКСИРОВАННЫЙ 8" xfId="2289"/>
    <cellStyle name="ФИКСИРОВАННЫЙ 8 2" xfId="2290"/>
    <cellStyle name="ФИКСИРОВАННЫЙ 9" xfId="2291"/>
    <cellStyle name="ФИКСИРОВАННЫЙ_1" xfId="2292"/>
    <cellStyle name="Comma" xfId="2293"/>
    <cellStyle name="Comma [0]" xfId="2294"/>
    <cellStyle name="Финансовый 2" xfId="2295"/>
    <cellStyle name="Финансовый 2 2" xfId="2296"/>
    <cellStyle name="Финансовый 2 2 2" xfId="2297"/>
    <cellStyle name="Финансовый 2 2 3" xfId="2298"/>
    <cellStyle name="Финансовый 2 2_INDEX.STATION.2012(v1.0)_" xfId="2299"/>
    <cellStyle name="Финансовый 2 3" xfId="2300"/>
    <cellStyle name="Финансовый 2 4" xfId="2301"/>
    <cellStyle name="Финансовый 2_46EE.2011(v1.0)" xfId="2302"/>
    <cellStyle name="Финансовый 3" xfId="2303"/>
    <cellStyle name="Финансовый 3 2" xfId="2304"/>
    <cellStyle name="Финансовый 3 3" xfId="2305"/>
    <cellStyle name="Финансовый 3 3 2" xfId="2306"/>
    <cellStyle name="Финансовый 3 4" xfId="2307"/>
    <cellStyle name="Финансовый 3 4 2" xfId="2308"/>
    <cellStyle name="Финансовый 3_INDEX.STATION.2012(v1.0)_" xfId="2309"/>
    <cellStyle name="Финансовый 4" xfId="2310"/>
    <cellStyle name="Финансовый 6" xfId="2311"/>
    <cellStyle name="Финансовый0[0]_FU_bal" xfId="2312"/>
    <cellStyle name="Формула" xfId="2313"/>
    <cellStyle name="Формула 2" xfId="2314"/>
    <cellStyle name="Формула_A РТ 2009 Рязаньэнерго" xfId="2315"/>
    <cellStyle name="ФормулаВБ" xfId="2316"/>
    <cellStyle name="ФормулаНаКонтроль" xfId="2317"/>
    <cellStyle name="Хороший" xfId="2318"/>
    <cellStyle name="Хороший 10" xfId="2319"/>
    <cellStyle name="Хороший 2" xfId="2320"/>
    <cellStyle name="Хороший 2 2" xfId="2321"/>
    <cellStyle name="Хороший 3" xfId="2322"/>
    <cellStyle name="Хороший 3 2" xfId="2323"/>
    <cellStyle name="Хороший 4" xfId="2324"/>
    <cellStyle name="Хороший 4 2" xfId="2325"/>
    <cellStyle name="Хороший 5" xfId="2326"/>
    <cellStyle name="Хороший 5 2" xfId="2327"/>
    <cellStyle name="Хороший 6" xfId="2328"/>
    <cellStyle name="Хороший 6 2" xfId="2329"/>
    <cellStyle name="Хороший 7" xfId="2330"/>
    <cellStyle name="Хороший 7 2" xfId="2331"/>
    <cellStyle name="Хороший 8" xfId="2332"/>
    <cellStyle name="Хороший 8 2" xfId="2333"/>
    <cellStyle name="Хороший 9" xfId="2334"/>
    <cellStyle name="Хороший 9 2" xfId="2335"/>
    <cellStyle name="Цена_продукта" xfId="2336"/>
    <cellStyle name="Цифры по центру с десятыми" xfId="2337"/>
    <cellStyle name="Цифры по центру с десятыми 2" xfId="2338"/>
    <cellStyle name="Цифры по центру с десятыми 3" xfId="2339"/>
    <cellStyle name="Цифры по центру с десятыми 4" xfId="2340"/>
    <cellStyle name="число" xfId="2341"/>
    <cellStyle name="Џђћ–…ќ’ќ›‰" xfId="2342"/>
    <cellStyle name="Шапка" xfId="2343"/>
    <cellStyle name="Шапка таблицы" xfId="2344"/>
    <cellStyle name="Шапка_UPDATE.JKH.OPEN.INFO.TARIFF.HVS.TO.4.3.64" xfId="2345"/>
    <cellStyle name="ШАУ" xfId="2346"/>
    <cellStyle name="標準_PL-CF sheet" xfId="2347"/>
    <cellStyle name="䁺_x0001_" xfId="23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2BB~1\AppData\Local\Temp\Rar$DI00.137\JKH.OPEN.INFO.TARIFF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kwater@bk.ru" TargetMode="External" /><Relationship Id="rId2" Type="http://schemas.openxmlformats.org/officeDocument/2006/relationships/hyperlink" Target="mailto:mkwater@bk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J51"/>
  <sheetViews>
    <sheetView zoomScalePageLayoutView="0" workbookViewId="0" topLeftCell="A37">
      <selection activeCell="E14" sqref="E14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29.375" style="0" customWidth="1"/>
    <col min="4" max="4" width="34.625" style="0" customWidth="1"/>
    <col min="5" max="5" width="59.625" style="1" customWidth="1"/>
    <col min="6" max="6" width="17.125" style="0" customWidth="1"/>
  </cols>
  <sheetData>
    <row r="1" spans="2:6" ht="12.75">
      <c r="B1" s="2"/>
      <c r="C1" s="2"/>
      <c r="D1" s="2"/>
      <c r="E1" s="3"/>
      <c r="F1" s="2"/>
    </row>
    <row r="2" spans="2:6" ht="15.75">
      <c r="B2" s="2"/>
      <c r="C2" s="4" t="s">
        <v>181</v>
      </c>
      <c r="D2" s="4"/>
      <c r="E2" s="4"/>
      <c r="F2" s="2"/>
    </row>
    <row r="3" spans="2:6" ht="13.5" thickBot="1">
      <c r="B3" s="2"/>
      <c r="C3" s="2"/>
      <c r="D3" s="2"/>
      <c r="E3" s="3"/>
      <c r="F3" s="2"/>
    </row>
    <row r="4" spans="2:6" ht="13.5" thickBot="1">
      <c r="B4" s="2"/>
      <c r="C4" s="73" t="s">
        <v>182</v>
      </c>
      <c r="D4" s="74"/>
      <c r="E4" s="34" t="s">
        <v>224</v>
      </c>
      <c r="F4" s="2"/>
    </row>
    <row r="5" spans="2:6" ht="12.75">
      <c r="B5" s="2"/>
      <c r="C5" s="62" t="s">
        <v>183</v>
      </c>
      <c r="D5" s="63"/>
      <c r="E5" s="34" t="s">
        <v>224</v>
      </c>
      <c r="F5" s="2"/>
    </row>
    <row r="6" spans="2:6" ht="12.75">
      <c r="B6" s="2"/>
      <c r="C6" s="62" t="s">
        <v>184</v>
      </c>
      <c r="D6" s="63"/>
      <c r="E6" s="35" t="s">
        <v>227</v>
      </c>
      <c r="F6" s="2"/>
    </row>
    <row r="7" spans="2:6" ht="12.75">
      <c r="B7" s="2"/>
      <c r="C7" s="62" t="s">
        <v>185</v>
      </c>
      <c r="D7" s="63"/>
      <c r="E7" s="35" t="s">
        <v>228</v>
      </c>
      <c r="F7" s="2"/>
    </row>
    <row r="8" spans="2:6" ht="12.75">
      <c r="B8" s="2"/>
      <c r="C8" s="62" t="s">
        <v>186</v>
      </c>
      <c r="D8" s="63"/>
      <c r="E8" s="35" t="s">
        <v>225</v>
      </c>
      <c r="F8" s="2"/>
    </row>
    <row r="9" spans="2:6" ht="12.75">
      <c r="B9" s="2"/>
      <c r="C9" s="62" t="s">
        <v>187</v>
      </c>
      <c r="D9" s="63"/>
      <c r="E9" s="35" t="s">
        <v>226</v>
      </c>
      <c r="F9" s="2"/>
    </row>
    <row r="10" spans="2:6" ht="12.75">
      <c r="B10" s="2"/>
      <c r="C10" s="62" t="s">
        <v>188</v>
      </c>
      <c r="D10" s="63"/>
      <c r="E10" s="36" t="s">
        <v>232</v>
      </c>
      <c r="F10" s="2"/>
    </row>
    <row r="11" spans="2:6" ht="25.5">
      <c r="B11" s="2"/>
      <c r="C11" s="62" t="s">
        <v>10</v>
      </c>
      <c r="D11" s="63"/>
      <c r="E11" s="36" t="s">
        <v>229</v>
      </c>
      <c r="F11" s="2"/>
    </row>
    <row r="12" spans="2:6" ht="12.75">
      <c r="B12" s="2"/>
      <c r="C12" s="62" t="s">
        <v>9</v>
      </c>
      <c r="D12" s="63"/>
      <c r="E12" s="36" t="s">
        <v>231</v>
      </c>
      <c r="F12" s="2"/>
    </row>
    <row r="13" spans="2:6" ht="12.75">
      <c r="B13" s="2"/>
      <c r="C13" s="62" t="s">
        <v>5</v>
      </c>
      <c r="D13" s="63"/>
      <c r="E13" s="35" t="s">
        <v>230</v>
      </c>
      <c r="F13" s="2"/>
    </row>
    <row r="14" spans="2:6" ht="12.75">
      <c r="B14" s="2"/>
      <c r="C14" s="62" t="s">
        <v>6</v>
      </c>
      <c r="D14" s="63"/>
      <c r="E14" s="35" t="s">
        <v>254</v>
      </c>
      <c r="F14" s="2"/>
    </row>
    <row r="15" spans="2:6" ht="12.75" customHeight="1">
      <c r="B15" s="2"/>
      <c r="C15" s="62" t="s">
        <v>189</v>
      </c>
      <c r="D15" s="63"/>
      <c r="E15" s="35" t="s">
        <v>233</v>
      </c>
      <c r="F15" s="2"/>
    </row>
    <row r="16" spans="2:6" ht="12.75">
      <c r="B16" s="2"/>
      <c r="C16" s="62" t="s">
        <v>190</v>
      </c>
      <c r="D16" s="63"/>
      <c r="E16" s="35" t="s">
        <v>234</v>
      </c>
      <c r="F16" s="2"/>
    </row>
    <row r="17" spans="2:6" ht="12.75">
      <c r="B17" s="2"/>
      <c r="C17" s="62" t="s">
        <v>191</v>
      </c>
      <c r="D17" s="63"/>
      <c r="E17" s="35" t="s">
        <v>235</v>
      </c>
      <c r="F17" s="2"/>
    </row>
    <row r="18" spans="2:6" ht="12.75">
      <c r="B18" s="2"/>
      <c r="C18" s="62" t="s">
        <v>192</v>
      </c>
      <c r="D18" s="63"/>
      <c r="E18" s="35" t="s">
        <v>235</v>
      </c>
      <c r="F18" s="2"/>
    </row>
    <row r="19" spans="2:6" ht="12.75">
      <c r="B19" s="2"/>
      <c r="C19" s="62" t="s">
        <v>193</v>
      </c>
      <c r="D19" s="63"/>
      <c r="E19" s="37" t="s">
        <v>236</v>
      </c>
      <c r="F19" s="2"/>
    </row>
    <row r="20" spans="2:6" ht="12.75">
      <c r="B20" s="2"/>
      <c r="C20" s="62" t="s">
        <v>194</v>
      </c>
      <c r="D20" s="63"/>
      <c r="E20" s="37" t="s">
        <v>237</v>
      </c>
      <c r="F20" s="2"/>
    </row>
    <row r="21" spans="2:6" ht="25.5">
      <c r="B21" s="2"/>
      <c r="C21" s="62" t="s">
        <v>195</v>
      </c>
      <c r="D21" s="63"/>
      <c r="E21" s="35" t="s">
        <v>247</v>
      </c>
      <c r="F21" s="2"/>
    </row>
    <row r="22" spans="2:6" ht="12.75">
      <c r="B22" s="2"/>
      <c r="C22" s="62" t="s">
        <v>11</v>
      </c>
      <c r="D22" s="63"/>
      <c r="E22" s="35" t="s">
        <v>239</v>
      </c>
      <c r="F22" s="2"/>
    </row>
    <row r="23" spans="2:6" ht="12.75">
      <c r="B23" s="2"/>
      <c r="C23" s="62" t="s">
        <v>12</v>
      </c>
      <c r="D23" s="63"/>
      <c r="E23" s="35" t="s">
        <v>240</v>
      </c>
      <c r="F23" s="2"/>
    </row>
    <row r="24" spans="2:6" ht="12.75">
      <c r="B24" s="2"/>
      <c r="C24" s="62" t="s">
        <v>13</v>
      </c>
      <c r="D24" s="63"/>
      <c r="E24" s="35" t="s">
        <v>73</v>
      </c>
      <c r="F24" s="2"/>
    </row>
    <row r="25" spans="2:6" ht="12.75">
      <c r="B25" s="2"/>
      <c r="C25" s="29" t="s">
        <v>14</v>
      </c>
      <c r="D25" s="30"/>
      <c r="E25" s="35" t="s">
        <v>241</v>
      </c>
      <c r="F25" s="2"/>
    </row>
    <row r="26" spans="2:6" ht="12.75">
      <c r="B26" s="2"/>
      <c r="C26" s="62" t="s">
        <v>15</v>
      </c>
      <c r="D26" s="63"/>
      <c r="E26" s="35" t="s">
        <v>242</v>
      </c>
      <c r="F26" s="2"/>
    </row>
    <row r="27" spans="2:6" ht="12.75">
      <c r="B27" s="2"/>
      <c r="C27" s="62" t="s">
        <v>196</v>
      </c>
      <c r="D27" s="63"/>
      <c r="E27" s="35"/>
      <c r="F27" s="2"/>
    </row>
    <row r="28" spans="2:6" ht="12.75">
      <c r="B28" s="2"/>
      <c r="C28" s="70"/>
      <c r="D28" s="31" t="s">
        <v>197</v>
      </c>
      <c r="E28" s="38" t="s">
        <v>244</v>
      </c>
      <c r="F28" s="2"/>
    </row>
    <row r="29" spans="2:6" ht="12.75">
      <c r="B29" s="2"/>
      <c r="C29" s="71"/>
      <c r="D29" s="31" t="s">
        <v>198</v>
      </c>
      <c r="E29" s="38" t="s">
        <v>243</v>
      </c>
      <c r="F29" s="2"/>
    </row>
    <row r="30" spans="2:6" ht="12.75">
      <c r="B30" s="2"/>
      <c r="C30" s="71"/>
      <c r="D30" s="31" t="s">
        <v>199</v>
      </c>
      <c r="E30" s="38" t="s">
        <v>245</v>
      </c>
      <c r="F30" s="2"/>
    </row>
    <row r="31" spans="2:6" ht="12.75">
      <c r="B31" s="2"/>
      <c r="C31" s="72"/>
      <c r="D31" s="31" t="s">
        <v>200</v>
      </c>
      <c r="E31" s="38" t="s">
        <v>246</v>
      </c>
      <c r="F31" s="2"/>
    </row>
    <row r="32" spans="2:6" ht="12.75">
      <c r="B32" s="2"/>
      <c r="C32" s="62" t="s">
        <v>201</v>
      </c>
      <c r="D32" s="63"/>
      <c r="E32" s="39" t="s">
        <v>238</v>
      </c>
      <c r="F32" s="2"/>
    </row>
    <row r="33" spans="2:6" ht="12.75">
      <c r="B33" s="2"/>
      <c r="C33" s="65"/>
      <c r="D33" s="32" t="s">
        <v>202</v>
      </c>
      <c r="E33" s="38"/>
      <c r="F33" s="2"/>
    </row>
    <row r="34" spans="2:6" ht="12.75">
      <c r="B34" s="2"/>
      <c r="C34" s="66"/>
      <c r="D34" s="32" t="s">
        <v>203</v>
      </c>
      <c r="E34" s="38"/>
      <c r="F34" s="2"/>
    </row>
    <row r="35" spans="2:6" ht="25.5">
      <c r="B35" s="2"/>
      <c r="C35" s="66"/>
      <c r="D35" s="32" t="s">
        <v>204</v>
      </c>
      <c r="E35" s="38"/>
      <c r="F35" s="2"/>
    </row>
    <row r="36" spans="2:6" ht="12.75">
      <c r="B36" s="2"/>
      <c r="C36" s="67"/>
      <c r="D36" s="32" t="s">
        <v>205</v>
      </c>
      <c r="E36" s="38"/>
      <c r="F36" s="2"/>
    </row>
    <row r="37" spans="2:6" ht="25.5">
      <c r="B37" s="2"/>
      <c r="C37" s="68" t="s">
        <v>206</v>
      </c>
      <c r="D37" s="32" t="s">
        <v>16</v>
      </c>
      <c r="E37" s="39" t="s">
        <v>248</v>
      </c>
      <c r="F37" s="2"/>
    </row>
    <row r="38" spans="2:6" ht="12.75" hidden="1">
      <c r="B38" s="2"/>
      <c r="C38" s="68"/>
      <c r="D38" s="32"/>
      <c r="E38" s="39"/>
      <c r="F38" s="2"/>
    </row>
    <row r="39" spans="2:6" ht="12.75" hidden="1">
      <c r="B39" s="2"/>
      <c r="C39" s="68"/>
      <c r="D39" s="32"/>
      <c r="E39" s="40"/>
      <c r="F39" s="2"/>
    </row>
    <row r="40" spans="2:6" ht="12.75" hidden="1">
      <c r="B40" s="2"/>
      <c r="C40" s="68"/>
      <c r="D40" s="32"/>
      <c r="E40" s="40"/>
      <c r="F40" s="2"/>
    </row>
    <row r="41" spans="2:6" ht="12.75">
      <c r="B41" s="2"/>
      <c r="C41" s="68"/>
      <c r="D41" s="32" t="s">
        <v>207</v>
      </c>
      <c r="E41" s="39" t="s">
        <v>249</v>
      </c>
      <c r="F41" s="2"/>
    </row>
    <row r="42" spans="2:10" ht="39" thickBot="1">
      <c r="B42" s="2"/>
      <c r="C42" s="69"/>
      <c r="D42" s="33" t="s">
        <v>223</v>
      </c>
      <c r="E42" s="41" t="s">
        <v>253</v>
      </c>
      <c r="F42" s="64" t="s">
        <v>26</v>
      </c>
      <c r="G42" s="64"/>
      <c r="H42" s="64"/>
      <c r="I42" s="64"/>
      <c r="J42" s="64"/>
    </row>
    <row r="43" spans="2:6" ht="12.75">
      <c r="B43" s="2"/>
      <c r="C43" s="2"/>
      <c r="D43" s="2"/>
      <c r="E43" s="3"/>
      <c r="F43" s="2"/>
    </row>
    <row r="44" spans="2:6" ht="12.75">
      <c r="B44" s="2"/>
      <c r="C44" s="2"/>
      <c r="D44" s="2"/>
      <c r="E44" s="3"/>
      <c r="F44" s="2"/>
    </row>
    <row r="45" spans="2:6" ht="12.75">
      <c r="B45" s="2"/>
      <c r="C45" s="2"/>
      <c r="D45" s="2"/>
      <c r="E45" s="3"/>
      <c r="F45" s="2"/>
    </row>
    <row r="46" spans="2:6" ht="12.75">
      <c r="B46" s="2"/>
      <c r="C46" s="2"/>
      <c r="D46" s="2"/>
      <c r="E46" s="3"/>
      <c r="F46" s="2"/>
    </row>
    <row r="47" spans="2:6" ht="12.75">
      <c r="B47" s="2"/>
      <c r="C47" s="2"/>
      <c r="D47" s="2"/>
      <c r="E47" s="3"/>
      <c r="F47" s="2"/>
    </row>
    <row r="48" spans="2:6" ht="12.75">
      <c r="B48" s="2"/>
      <c r="C48" s="2"/>
      <c r="D48" s="2"/>
      <c r="E48" s="3"/>
      <c r="F48" s="2"/>
    </row>
    <row r="49" spans="2:5" ht="12.75">
      <c r="B49" s="2"/>
      <c r="C49" s="2"/>
      <c r="D49" s="2"/>
      <c r="E49" s="2"/>
    </row>
    <row r="50" spans="2:6" ht="12.75">
      <c r="B50" s="2"/>
      <c r="C50" s="2"/>
      <c r="D50" s="2"/>
      <c r="E50" s="3"/>
      <c r="F50" s="2"/>
    </row>
    <row r="51" spans="2:6" ht="12.75">
      <c r="B51" s="2"/>
      <c r="C51" s="2"/>
      <c r="D51" s="2"/>
      <c r="E51" s="3"/>
      <c r="F51" s="2"/>
    </row>
  </sheetData>
  <sheetProtection/>
  <mergeCells count="28">
    <mergeCell ref="C4:D4"/>
    <mergeCell ref="C5:D5"/>
    <mergeCell ref="C6:D6"/>
    <mergeCell ref="C7:D7"/>
    <mergeCell ref="C11:D11"/>
    <mergeCell ref="C16:D16"/>
    <mergeCell ref="C13:D13"/>
    <mergeCell ref="C15:D15"/>
    <mergeCell ref="C18:D18"/>
    <mergeCell ref="C27:D27"/>
    <mergeCell ref="C32:D32"/>
    <mergeCell ref="C33:C36"/>
    <mergeCell ref="C37:C42"/>
    <mergeCell ref="C28:C31"/>
    <mergeCell ref="C22:D22"/>
    <mergeCell ref="C23:D23"/>
    <mergeCell ref="C24:D24"/>
    <mergeCell ref="C20:D20"/>
    <mergeCell ref="C19:D19"/>
    <mergeCell ref="C21:D21"/>
    <mergeCell ref="C14:D14"/>
    <mergeCell ref="C17:D17"/>
    <mergeCell ref="F42:J42"/>
    <mergeCell ref="C8:D8"/>
    <mergeCell ref="C9:D9"/>
    <mergeCell ref="C10:D10"/>
    <mergeCell ref="C26:D26"/>
    <mergeCell ref="C12:D12"/>
  </mergeCells>
  <dataValidations count="1">
    <dataValidation type="list" allowBlank="1" showInputMessage="1" showErrorMessage="1" sqref="E42">
      <formula1>отметкаНДС</formula1>
    </dataValidation>
  </dataValidations>
  <hyperlinks>
    <hyperlink ref="E19" r:id="rId1" display="mkwater@bk.ru"/>
    <hyperlink ref="E20" r:id="rId2" display="mkwater@bk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6"/>
  <sheetViews>
    <sheetView tabSelected="1" view="pageBreakPreview" zoomScale="75" zoomScaleNormal="75" zoomScaleSheetLayoutView="75" zoomScalePageLayoutView="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119" sqref="Q119"/>
    </sheetView>
  </sheetViews>
  <sheetFormatPr defaultColWidth="9.00390625" defaultRowHeight="12.75"/>
  <cols>
    <col min="1" max="1" width="6.375" style="13" customWidth="1"/>
    <col min="2" max="2" width="52.125" style="8" customWidth="1"/>
    <col min="3" max="3" width="25.375" style="10" customWidth="1"/>
    <col min="4" max="4" width="12.00390625" style="10" hidden="1" customWidth="1"/>
    <col min="5" max="5" width="11.75390625" style="8" hidden="1" customWidth="1"/>
    <col min="6" max="6" width="12.625" style="8" hidden="1" customWidth="1"/>
    <col min="7" max="7" width="11.25390625" style="8" hidden="1" customWidth="1"/>
    <col min="8" max="8" width="12.25390625" style="8" hidden="1" customWidth="1"/>
    <col min="9" max="9" width="13.875" style="8" hidden="1" customWidth="1"/>
    <col min="10" max="10" width="12.375" style="14" hidden="1" customWidth="1"/>
    <col min="11" max="11" width="13.875" style="8" hidden="1" customWidth="1"/>
    <col min="12" max="12" width="14.75390625" style="8" hidden="1" customWidth="1"/>
    <col min="13" max="13" width="51.125" style="8" customWidth="1"/>
    <col min="14" max="14" width="12.375" style="8" hidden="1" customWidth="1"/>
    <col min="15" max="16" width="12.00390625" style="8" hidden="1" customWidth="1"/>
    <col min="17" max="17" width="67.25390625" style="8" customWidth="1"/>
    <col min="18" max="18" width="10.00390625" style="8" bestFit="1" customWidth="1"/>
    <col min="19" max="16384" width="9.125" style="8" customWidth="1"/>
  </cols>
  <sheetData>
    <row r="1" spans="14:16" ht="18.75">
      <c r="N1" s="84"/>
      <c r="O1" s="84"/>
      <c r="P1" s="10"/>
    </row>
    <row r="2" spans="1:16" ht="34.5" customHeight="1">
      <c r="A2" s="85" t="s">
        <v>260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15" customFormat="1" ht="18.75" customHeight="1">
      <c r="A3" s="86" t="s">
        <v>250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15" customFormat="1" ht="18.75">
      <c r="A4" s="83" t="s">
        <v>261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6"/>
      <c r="O4" s="6"/>
      <c r="P4" s="6"/>
    </row>
    <row r="5" spans="1:16" s="16" customFormat="1" ht="27" customHeight="1">
      <c r="A5" s="87" t="s">
        <v>208</v>
      </c>
      <c r="B5" s="87" t="s">
        <v>21</v>
      </c>
      <c r="C5" s="88" t="s">
        <v>209</v>
      </c>
      <c r="D5" s="80">
        <v>2011</v>
      </c>
      <c r="E5" s="81"/>
      <c r="F5" s="82"/>
      <c r="G5" s="79">
        <v>2012</v>
      </c>
      <c r="H5" s="79"/>
      <c r="I5" s="79"/>
      <c r="J5" s="79">
        <v>2013</v>
      </c>
      <c r="K5" s="79"/>
      <c r="L5" s="79"/>
      <c r="M5" s="79" t="s">
        <v>262</v>
      </c>
      <c r="N5" s="79"/>
      <c r="O5" s="79"/>
      <c r="P5" s="79"/>
    </row>
    <row r="6" spans="1:16" s="10" customFormat="1" ht="62.25" customHeight="1">
      <c r="A6" s="87"/>
      <c r="B6" s="87"/>
      <c r="C6" s="88"/>
      <c r="D6" s="22" t="s">
        <v>212</v>
      </c>
      <c r="E6" s="23" t="s">
        <v>221</v>
      </c>
      <c r="F6" s="23" t="s">
        <v>33</v>
      </c>
      <c r="G6" s="22" t="s">
        <v>212</v>
      </c>
      <c r="H6" s="23" t="s">
        <v>221</v>
      </c>
      <c r="I6" s="23" t="s">
        <v>33</v>
      </c>
      <c r="J6" s="22" t="s">
        <v>212</v>
      </c>
      <c r="K6" s="22" t="s">
        <v>255</v>
      </c>
      <c r="L6" s="22" t="s">
        <v>8</v>
      </c>
      <c r="M6" s="22" t="s">
        <v>31</v>
      </c>
      <c r="N6" s="22" t="s">
        <v>32</v>
      </c>
      <c r="O6" s="22" t="s">
        <v>7</v>
      </c>
      <c r="P6" s="22" t="s">
        <v>32</v>
      </c>
    </row>
    <row r="7" spans="1:16" s="10" customFormat="1" ht="22.5" customHeight="1">
      <c r="A7" s="9">
        <v>1</v>
      </c>
      <c r="B7" s="9">
        <f>A7+1</f>
        <v>2</v>
      </c>
      <c r="C7" s="9">
        <f aca="true" t="shared" si="0" ref="C7:O7">B7+1</f>
        <v>3</v>
      </c>
      <c r="D7" s="9">
        <f t="shared" si="0"/>
        <v>4</v>
      </c>
      <c r="E7" s="9">
        <f t="shared" si="0"/>
        <v>5</v>
      </c>
      <c r="F7" s="9">
        <f t="shared" si="0"/>
        <v>6</v>
      </c>
      <c r="G7" s="9">
        <f>F7+1</f>
        <v>7</v>
      </c>
      <c r="H7" s="9">
        <f t="shared" si="0"/>
        <v>8</v>
      </c>
      <c r="I7" s="9">
        <f t="shared" si="0"/>
        <v>9</v>
      </c>
      <c r="J7" s="9">
        <f t="shared" si="0"/>
        <v>10</v>
      </c>
      <c r="K7" s="9">
        <f t="shared" si="0"/>
        <v>11</v>
      </c>
      <c r="L7" s="9">
        <f t="shared" si="0"/>
        <v>12</v>
      </c>
      <c r="M7" s="9">
        <v>4</v>
      </c>
      <c r="N7" s="9">
        <f t="shared" si="0"/>
        <v>5</v>
      </c>
      <c r="O7" s="9">
        <f t="shared" si="0"/>
        <v>6</v>
      </c>
      <c r="P7" s="9">
        <v>16</v>
      </c>
    </row>
    <row r="8" spans="1:16" ht="6" customHeight="1" hidden="1">
      <c r="A8" s="25">
        <v>1</v>
      </c>
      <c r="B8" s="19" t="s">
        <v>48</v>
      </c>
      <c r="C8" s="11" t="s">
        <v>178</v>
      </c>
      <c r="D8" s="44">
        <v>29</v>
      </c>
      <c r="E8" s="44">
        <v>24.5</v>
      </c>
      <c r="F8" s="45">
        <f>E8-D8</f>
        <v>-4.5</v>
      </c>
      <c r="G8" s="44">
        <v>15.2</v>
      </c>
      <c r="H8" s="44">
        <v>22.29</v>
      </c>
      <c r="I8" s="45">
        <f>H8-G8</f>
        <v>7.09</v>
      </c>
      <c r="J8" s="44">
        <v>26.64</v>
      </c>
      <c r="K8" s="44">
        <v>7.46</v>
      </c>
      <c r="L8" s="44"/>
      <c r="M8" s="44">
        <v>36.87</v>
      </c>
      <c r="N8" s="46">
        <f>M8/J8</f>
        <v>1.384009009009009</v>
      </c>
      <c r="O8" s="44"/>
      <c r="P8" s="45">
        <f>O8/J8</f>
        <v>0</v>
      </c>
    </row>
    <row r="9" spans="1:16" ht="21" customHeight="1" hidden="1">
      <c r="A9" s="25">
        <v>2</v>
      </c>
      <c r="B9" s="19" t="s">
        <v>210</v>
      </c>
      <c r="C9" s="11" t="s">
        <v>178</v>
      </c>
      <c r="D9" s="44">
        <f>4828.74+5544</f>
        <v>10372.74</v>
      </c>
      <c r="E9" s="44">
        <f>3815.84-20.9+5495.28</f>
        <v>9290.22</v>
      </c>
      <c r="F9" s="45">
        <f>E9-D9</f>
        <v>-1082.5200000000004</v>
      </c>
      <c r="G9" s="44">
        <f>5344.67+5865.08</f>
        <v>11209.75</v>
      </c>
      <c r="H9" s="44">
        <f>9735.848-H59</f>
        <v>9714.788</v>
      </c>
      <c r="I9" s="45">
        <f>H9-G9</f>
        <v>-1494.9619999999995</v>
      </c>
      <c r="J9" s="44">
        <v>11249.6</v>
      </c>
      <c r="K9" s="44">
        <f>2192.717-K59</f>
        <v>2186.942</v>
      </c>
      <c r="L9" s="44"/>
      <c r="M9" s="44">
        <f>M10*M11</f>
        <v>13095.458904528</v>
      </c>
      <c r="N9" s="46">
        <f>M9/J9</f>
        <v>1.1640821811022615</v>
      </c>
      <c r="O9" s="44"/>
      <c r="P9" s="45">
        <f aca="true" t="shared" si="1" ref="P9:P68">O9/J9</f>
        <v>0</v>
      </c>
    </row>
    <row r="10" spans="1:16" ht="23.25" customHeight="1" hidden="1">
      <c r="A10" s="26" t="s">
        <v>28</v>
      </c>
      <c r="B10" s="20" t="s">
        <v>122</v>
      </c>
      <c r="C10" s="11" t="s">
        <v>123</v>
      </c>
      <c r="D10" s="47">
        <f>1448.8+1717.3</f>
        <v>3166.1</v>
      </c>
      <c r="E10" s="47">
        <f>1048.63-6+1578.81</f>
        <v>2621.44</v>
      </c>
      <c r="F10" s="45">
        <f>E10-D10</f>
        <v>-544.6599999999999</v>
      </c>
      <c r="G10" s="47">
        <f>1356.1+1599.4</f>
        <v>2955.5</v>
      </c>
      <c r="H10" s="47">
        <f>2773.867-H60</f>
        <v>2767.867</v>
      </c>
      <c r="I10" s="45">
        <f>H10-G10</f>
        <v>-187.6329999999998</v>
      </c>
      <c r="J10" s="47">
        <v>2702.28</v>
      </c>
      <c r="K10" s="47">
        <f>569.214-K60</f>
        <v>567.714</v>
      </c>
      <c r="L10" s="47"/>
      <c r="M10" s="47">
        <f>M12*M106</f>
        <v>3001.0456666666664</v>
      </c>
      <c r="N10" s="46">
        <f>M10/J10</f>
        <v>1.1105605883426832</v>
      </c>
      <c r="O10" s="47"/>
      <c r="P10" s="45">
        <f t="shared" si="1"/>
        <v>0</v>
      </c>
    </row>
    <row r="11" spans="1:16" ht="18.75" hidden="1">
      <c r="A11" s="26" t="s">
        <v>47</v>
      </c>
      <c r="B11" s="20" t="s">
        <v>124</v>
      </c>
      <c r="C11" s="11" t="s">
        <v>23</v>
      </c>
      <c r="D11" s="47">
        <f>D9/D10</f>
        <v>3.2761883705505195</v>
      </c>
      <c r="E11" s="47">
        <f>E9/E10</f>
        <v>3.5439376831054683</v>
      </c>
      <c r="F11" s="45">
        <f>E11-D11</f>
        <v>0.2677493125549488</v>
      </c>
      <c r="G11" s="47">
        <f>G9/G10</f>
        <v>3.7928438504483166</v>
      </c>
      <c r="H11" s="47">
        <f>H9/H10</f>
        <v>3.5098463907405955</v>
      </c>
      <c r="I11" s="45">
        <f>H11-G11</f>
        <v>-0.28299745970772117</v>
      </c>
      <c r="J11" s="47">
        <v>4.163</v>
      </c>
      <c r="K11" s="47">
        <f>K9/K10</f>
        <v>3.852189658877533</v>
      </c>
      <c r="L11" s="47"/>
      <c r="M11" s="47">
        <f>3.51*1.11*1.12</f>
        <v>4.363632000000001</v>
      </c>
      <c r="N11" s="46">
        <f>M11/J11</f>
        <v>1.048194090799904</v>
      </c>
      <c r="O11" s="49"/>
      <c r="P11" s="45">
        <f t="shared" si="1"/>
        <v>0</v>
      </c>
    </row>
    <row r="12" spans="1:16" ht="18.75" hidden="1">
      <c r="A12" s="26" t="s">
        <v>49</v>
      </c>
      <c r="B12" s="20" t="s">
        <v>125</v>
      </c>
      <c r="C12" s="11" t="s">
        <v>211</v>
      </c>
      <c r="D12" s="46"/>
      <c r="E12" s="46"/>
      <c r="F12" s="45"/>
      <c r="G12" s="46"/>
      <c r="H12" s="46">
        <f>H10/H106</f>
        <v>2.2145369037878297</v>
      </c>
      <c r="I12" s="45"/>
      <c r="J12" s="46">
        <v>1.67</v>
      </c>
      <c r="K12" s="46">
        <f>K10/K106</f>
        <v>2.172689263982826</v>
      </c>
      <c r="L12" s="47"/>
      <c r="M12" s="46">
        <v>1.67</v>
      </c>
      <c r="N12" s="46"/>
      <c r="O12" s="46"/>
      <c r="P12" s="45">
        <f t="shared" si="1"/>
        <v>0</v>
      </c>
    </row>
    <row r="13" spans="1:16" ht="18.75" hidden="1">
      <c r="A13" s="25">
        <v>3</v>
      </c>
      <c r="B13" s="19" t="s">
        <v>50</v>
      </c>
      <c r="C13" s="11" t="s">
        <v>178</v>
      </c>
      <c r="D13" s="47"/>
      <c r="E13" s="47"/>
      <c r="F13" s="45"/>
      <c r="G13" s="47"/>
      <c r="H13" s="47"/>
      <c r="I13" s="45"/>
      <c r="J13" s="47"/>
      <c r="K13" s="47"/>
      <c r="L13" s="47"/>
      <c r="M13" s="47"/>
      <c r="N13" s="46"/>
      <c r="O13" s="47"/>
      <c r="P13" s="45"/>
    </row>
    <row r="14" spans="1:16" ht="18.75" hidden="1">
      <c r="A14" s="25">
        <v>4</v>
      </c>
      <c r="B14" s="19" t="s">
        <v>35</v>
      </c>
      <c r="C14" s="11" t="s">
        <v>178</v>
      </c>
      <c r="D14" s="44">
        <f>1297.5+743</f>
        <v>2040.5</v>
      </c>
      <c r="E14" s="44">
        <f>2264.8+166.5</f>
        <v>2431.3</v>
      </c>
      <c r="F14" s="45">
        <f>E14-D14</f>
        <v>390.8000000000002</v>
      </c>
      <c r="G14" s="44">
        <f>618.2+23.8</f>
        <v>642</v>
      </c>
      <c r="H14" s="44" t="e">
        <f>2672.82-707.999-5.527+#REF!</f>
        <v>#REF!</v>
      </c>
      <c r="I14" s="45" t="e">
        <f>H14-G14</f>
        <v>#REF!</v>
      </c>
      <c r="J14" s="44">
        <f>2264.8+166.5</f>
        <v>2431.3</v>
      </c>
      <c r="K14" s="44" t="e">
        <f>588.347-163.06-1.38+#REF!</f>
        <v>#REF!</v>
      </c>
      <c r="L14" s="44"/>
      <c r="M14" s="44" t="e">
        <f>H14</f>
        <v>#REF!</v>
      </c>
      <c r="N14" s="46" t="e">
        <f>M14/J14</f>
        <v>#REF!</v>
      </c>
      <c r="O14" s="44"/>
      <c r="P14" s="45">
        <f t="shared" si="1"/>
        <v>0</v>
      </c>
    </row>
    <row r="15" spans="1:16" ht="30.75" customHeight="1" hidden="1">
      <c r="A15" s="25">
        <v>5</v>
      </c>
      <c r="B15" s="19" t="s">
        <v>126</v>
      </c>
      <c r="C15" s="11" t="s">
        <v>178</v>
      </c>
      <c r="D15" s="44"/>
      <c r="E15" s="44">
        <f>E16+E17+E18</f>
        <v>101.34620000000001</v>
      </c>
      <c r="F15" s="45">
        <f>E15-D15</f>
        <v>101.34620000000001</v>
      </c>
      <c r="G15" s="44"/>
      <c r="H15" s="44">
        <f>H16+H17+H18</f>
        <v>108.95</v>
      </c>
      <c r="I15" s="45">
        <f>H15-G15</f>
        <v>108.95</v>
      </c>
      <c r="J15" s="44"/>
      <c r="K15" s="44">
        <f>K16+K17+K18</f>
        <v>0</v>
      </c>
      <c r="L15" s="44"/>
      <c r="M15" s="44">
        <f>M16+M17+M18</f>
        <v>83.2116663</v>
      </c>
      <c r="N15" s="46"/>
      <c r="O15" s="44"/>
      <c r="P15" s="45"/>
    </row>
    <row r="16" spans="1:16" ht="18.75" hidden="1">
      <c r="A16" s="26" t="s">
        <v>51</v>
      </c>
      <c r="B16" s="20" t="s">
        <v>127</v>
      </c>
      <c r="C16" s="11" t="s">
        <v>178</v>
      </c>
      <c r="D16" s="47"/>
      <c r="E16" s="47">
        <f>(28268.6+73077.6)/1000</f>
        <v>101.34620000000001</v>
      </c>
      <c r="F16" s="45">
        <f>E16-D16</f>
        <v>101.34620000000001</v>
      </c>
      <c r="G16" s="47"/>
      <c r="H16" s="47">
        <f>30.39+78.56</f>
        <v>108.95</v>
      </c>
      <c r="I16" s="45">
        <f>H16-G16</f>
        <v>108.95</v>
      </c>
      <c r="J16" s="47"/>
      <c r="K16" s="47">
        <v>0</v>
      </c>
      <c r="L16" s="47"/>
      <c r="M16" s="47">
        <f>(22.26+52.29)*1.059*1.054</f>
        <v>83.2116663</v>
      </c>
      <c r="N16" s="46"/>
      <c r="O16" s="47"/>
      <c r="P16" s="45"/>
    </row>
    <row r="17" spans="1:16" ht="18.75" hidden="1">
      <c r="A17" s="26" t="s">
        <v>52</v>
      </c>
      <c r="B17" s="20" t="s">
        <v>128</v>
      </c>
      <c r="C17" s="11" t="s">
        <v>178</v>
      </c>
      <c r="D17" s="47"/>
      <c r="E17" s="47"/>
      <c r="F17" s="45"/>
      <c r="G17" s="47"/>
      <c r="H17" s="47"/>
      <c r="I17" s="45"/>
      <c r="J17" s="47"/>
      <c r="K17" s="47"/>
      <c r="L17" s="47"/>
      <c r="M17" s="47"/>
      <c r="N17" s="46"/>
      <c r="O17" s="47"/>
      <c r="P17" s="45"/>
    </row>
    <row r="18" spans="1:16" ht="18.75" hidden="1">
      <c r="A18" s="26" t="s">
        <v>53</v>
      </c>
      <c r="B18" s="20" t="s">
        <v>129</v>
      </c>
      <c r="C18" s="11" t="s">
        <v>178</v>
      </c>
      <c r="D18" s="47"/>
      <c r="E18" s="47"/>
      <c r="F18" s="45"/>
      <c r="G18" s="47"/>
      <c r="H18" s="47"/>
      <c r="I18" s="45"/>
      <c r="J18" s="47"/>
      <c r="K18" s="47"/>
      <c r="L18" s="47"/>
      <c r="M18" s="47"/>
      <c r="N18" s="46"/>
      <c r="O18" s="47"/>
      <c r="P18" s="45"/>
    </row>
    <row r="19" spans="1:16" ht="18.75" hidden="1">
      <c r="A19" s="25">
        <v>6</v>
      </c>
      <c r="B19" s="19" t="s">
        <v>130</v>
      </c>
      <c r="C19" s="11" t="s">
        <v>178</v>
      </c>
      <c r="D19" s="44"/>
      <c r="E19" s="44"/>
      <c r="F19" s="45"/>
      <c r="G19" s="44"/>
      <c r="H19" s="44"/>
      <c r="I19" s="45"/>
      <c r="J19" s="44"/>
      <c r="K19" s="44"/>
      <c r="L19" s="44"/>
      <c r="M19" s="44"/>
      <c r="N19" s="46"/>
      <c r="O19" s="44"/>
      <c r="P19" s="45"/>
    </row>
    <row r="20" spans="1:16" ht="18.75" hidden="1">
      <c r="A20" s="25">
        <v>7</v>
      </c>
      <c r="B20" s="19" t="s">
        <v>54</v>
      </c>
      <c r="C20" s="11" t="s">
        <v>178</v>
      </c>
      <c r="D20" s="44">
        <v>107.6</v>
      </c>
      <c r="E20" s="44">
        <f>118.437+81.962+83.48375+88.76063</f>
        <v>372.64338</v>
      </c>
      <c r="F20" s="45">
        <f aca="true" t="shared" si="2" ref="F20:F27">E20-D20</f>
        <v>265.04337999999996</v>
      </c>
      <c r="G20" s="44">
        <v>107.6</v>
      </c>
      <c r="H20" s="44">
        <f>1057.63-H15</f>
        <v>948.6800000000001</v>
      </c>
      <c r="I20" s="45">
        <f aca="true" t="shared" si="3" ref="I20:I27">H20-G20</f>
        <v>841.08</v>
      </c>
      <c r="J20" s="44">
        <v>799.77554</v>
      </c>
      <c r="K20" s="44">
        <f>0-K15</f>
        <v>0</v>
      </c>
      <c r="L20" s="44"/>
      <c r="M20" s="44">
        <f>1003.4-M15</f>
        <v>920.1883336999999</v>
      </c>
      <c r="N20" s="46">
        <f aca="true" t="shared" si="4" ref="N20:N26">M20/J20</f>
        <v>1.1505582350017856</v>
      </c>
      <c r="O20" s="44"/>
      <c r="P20" s="45">
        <f t="shared" si="1"/>
        <v>0</v>
      </c>
    </row>
    <row r="21" spans="1:16" ht="33.75" customHeight="1" hidden="1">
      <c r="A21" s="25">
        <v>8</v>
      </c>
      <c r="B21" s="19" t="s">
        <v>25</v>
      </c>
      <c r="C21" s="11" t="s">
        <v>178</v>
      </c>
      <c r="D21" s="44">
        <f>6838.7+1832.9</f>
        <v>8671.6</v>
      </c>
      <c r="E21" s="44">
        <f>5619.6+2168</f>
        <v>7787.6</v>
      </c>
      <c r="F21" s="45">
        <f t="shared" si="2"/>
        <v>-884</v>
      </c>
      <c r="G21" s="44">
        <f>7187.5+1926.38</f>
        <v>9113.880000000001</v>
      </c>
      <c r="H21" s="44">
        <v>9601.744</v>
      </c>
      <c r="I21" s="45">
        <f t="shared" si="3"/>
        <v>487.8639999999996</v>
      </c>
      <c r="J21" s="44">
        <f>7611.56+2040.03</f>
        <v>9651.59</v>
      </c>
      <c r="K21" s="44">
        <v>2447.111</v>
      </c>
      <c r="L21" s="44"/>
      <c r="M21" s="44">
        <f>J21*1.054</f>
        <v>10172.77586</v>
      </c>
      <c r="N21" s="46">
        <f t="shared" si="4"/>
        <v>1.054</v>
      </c>
      <c r="O21" s="44"/>
      <c r="P21" s="45">
        <f t="shared" si="1"/>
        <v>0</v>
      </c>
    </row>
    <row r="22" spans="1:16" ht="18.75" hidden="1">
      <c r="A22" s="26" t="s">
        <v>27</v>
      </c>
      <c r="B22" s="20" t="s">
        <v>131</v>
      </c>
      <c r="C22" s="11" t="s">
        <v>23</v>
      </c>
      <c r="D22" s="47">
        <v>3060</v>
      </c>
      <c r="E22" s="47">
        <v>3060</v>
      </c>
      <c r="F22" s="45">
        <f t="shared" si="2"/>
        <v>0</v>
      </c>
      <c r="G22" s="47">
        <v>3060</v>
      </c>
      <c r="H22" s="47">
        <v>3069</v>
      </c>
      <c r="I22" s="45">
        <f t="shared" si="3"/>
        <v>9</v>
      </c>
      <c r="J22" s="47">
        <v>3069</v>
      </c>
      <c r="K22" s="47">
        <v>3069</v>
      </c>
      <c r="L22" s="47"/>
      <c r="M22" s="47">
        <v>3287</v>
      </c>
      <c r="N22" s="46">
        <f t="shared" si="4"/>
        <v>1.0710329097425872</v>
      </c>
      <c r="O22" s="47"/>
      <c r="P22" s="45">
        <f t="shared" si="1"/>
        <v>0</v>
      </c>
    </row>
    <row r="23" spans="1:16" ht="18.75" hidden="1">
      <c r="A23" s="26" t="s">
        <v>213</v>
      </c>
      <c r="B23" s="20" t="s">
        <v>132</v>
      </c>
      <c r="C23" s="11" t="s">
        <v>22</v>
      </c>
      <c r="D23" s="47">
        <f>105+21</f>
        <v>126</v>
      </c>
      <c r="E23" s="47">
        <f>105+21</f>
        <v>126</v>
      </c>
      <c r="F23" s="45">
        <f t="shared" si="2"/>
        <v>0</v>
      </c>
      <c r="G23" s="47">
        <f>105+21</f>
        <v>126</v>
      </c>
      <c r="H23" s="47">
        <f>105+21</f>
        <v>126</v>
      </c>
      <c r="I23" s="45">
        <f t="shared" si="3"/>
        <v>0</v>
      </c>
      <c r="J23" s="47">
        <f>86+21</f>
        <v>107</v>
      </c>
      <c r="K23" s="47">
        <f>86+21</f>
        <v>107</v>
      </c>
      <c r="L23" s="47"/>
      <c r="M23" s="47">
        <v>107</v>
      </c>
      <c r="N23" s="46">
        <f t="shared" si="4"/>
        <v>1</v>
      </c>
      <c r="O23" s="47"/>
      <c r="P23" s="45">
        <f t="shared" si="1"/>
        <v>0</v>
      </c>
    </row>
    <row r="24" spans="1:16" ht="18.75" hidden="1">
      <c r="A24" s="26" t="s">
        <v>214</v>
      </c>
      <c r="B24" s="20" t="s">
        <v>34</v>
      </c>
      <c r="C24" s="11" t="s">
        <v>23</v>
      </c>
      <c r="D24" s="45">
        <f>D21/D23/12</f>
        <v>5.735185185185185</v>
      </c>
      <c r="E24" s="45">
        <f>E21/E23/12</f>
        <v>5.150529100529101</v>
      </c>
      <c r="F24" s="45">
        <f t="shared" si="2"/>
        <v>-0.5846560846560838</v>
      </c>
      <c r="G24" s="45">
        <f>G21/G23/12</f>
        <v>6.027698412698413</v>
      </c>
      <c r="H24" s="45">
        <f>H21/H23/12</f>
        <v>6.350359788359789</v>
      </c>
      <c r="I24" s="45">
        <f t="shared" si="3"/>
        <v>0.32266137566137587</v>
      </c>
      <c r="J24" s="45">
        <f>J21/J23/12</f>
        <v>7.516814641744548</v>
      </c>
      <c r="K24" s="45">
        <f>K21/K23/3</f>
        <v>7.62339875389408</v>
      </c>
      <c r="L24" s="45"/>
      <c r="M24" s="45">
        <f>M21/M23/12</f>
        <v>7.922722632398753</v>
      </c>
      <c r="N24" s="46">
        <f t="shared" si="4"/>
        <v>1.0539999999999998</v>
      </c>
      <c r="O24" s="45"/>
      <c r="P24" s="45">
        <f t="shared" si="1"/>
        <v>0</v>
      </c>
    </row>
    <row r="25" spans="1:16" ht="36" customHeight="1" hidden="1">
      <c r="A25" s="25">
        <v>9</v>
      </c>
      <c r="B25" s="19" t="s">
        <v>36</v>
      </c>
      <c r="C25" s="11" t="s">
        <v>178</v>
      </c>
      <c r="D25" s="44">
        <f>2338.8+626.8</f>
        <v>2965.6000000000004</v>
      </c>
      <c r="E25" s="44">
        <f>1792.46+552.05</f>
        <v>2344.51</v>
      </c>
      <c r="F25" s="45">
        <f t="shared" si="2"/>
        <v>-621.0900000000001</v>
      </c>
      <c r="G25" s="44">
        <f>2170.63+581.76</f>
        <v>2752.3900000000003</v>
      </c>
      <c r="H25" s="44">
        <f>H21*0.2892</f>
        <v>2776.8243648000002</v>
      </c>
      <c r="I25" s="45">
        <f t="shared" si="3"/>
        <v>24.434364799999912</v>
      </c>
      <c r="J25" s="44">
        <f>2298.69+616.09</f>
        <v>2914.78</v>
      </c>
      <c r="K25" s="44">
        <f>K21*0.2938</f>
        <v>718.9612118</v>
      </c>
      <c r="L25" s="44"/>
      <c r="M25" s="44">
        <f>M21*M26/100</f>
        <v>3072.1783097199996</v>
      </c>
      <c r="N25" s="46">
        <f t="shared" si="4"/>
        <v>1.0540000650889603</v>
      </c>
      <c r="O25" s="44"/>
      <c r="P25" s="45">
        <f t="shared" si="1"/>
        <v>0</v>
      </c>
    </row>
    <row r="26" spans="1:16" ht="18.75" hidden="1">
      <c r="A26" s="26" t="s">
        <v>55</v>
      </c>
      <c r="B26" s="12" t="s">
        <v>134</v>
      </c>
      <c r="C26" s="11" t="s">
        <v>18</v>
      </c>
      <c r="D26" s="47">
        <v>34.2</v>
      </c>
      <c r="E26" s="47">
        <v>34.2</v>
      </c>
      <c r="F26" s="45">
        <f t="shared" si="2"/>
        <v>0</v>
      </c>
      <c r="G26" s="47">
        <v>30.2</v>
      </c>
      <c r="H26" s="47">
        <v>30.2</v>
      </c>
      <c r="I26" s="45">
        <f t="shared" si="3"/>
        <v>0</v>
      </c>
      <c r="J26" s="47">
        <v>30.2</v>
      </c>
      <c r="K26" s="47">
        <v>30.2</v>
      </c>
      <c r="L26" s="47"/>
      <c r="M26" s="47">
        <v>30.2</v>
      </c>
      <c r="N26" s="46">
        <f t="shared" si="4"/>
        <v>1</v>
      </c>
      <c r="O26" s="47"/>
      <c r="P26" s="45">
        <f t="shared" si="1"/>
        <v>0</v>
      </c>
    </row>
    <row r="27" spans="1:16" ht="31.5" hidden="1">
      <c r="A27" s="25" t="s">
        <v>215</v>
      </c>
      <c r="B27" s="19" t="s">
        <v>135</v>
      </c>
      <c r="C27" s="11" t="s">
        <v>178</v>
      </c>
      <c r="D27" s="44">
        <v>0</v>
      </c>
      <c r="E27" s="44">
        <v>0</v>
      </c>
      <c r="F27" s="45">
        <f t="shared" si="2"/>
        <v>0</v>
      </c>
      <c r="G27" s="44">
        <v>264</v>
      </c>
      <c r="H27" s="44">
        <f>H28+H29+H32+H33</f>
        <v>410.367</v>
      </c>
      <c r="I27" s="45">
        <f t="shared" si="3"/>
        <v>146.36700000000002</v>
      </c>
      <c r="J27" s="44">
        <v>0</v>
      </c>
      <c r="K27" s="44">
        <f>K28+K29+K32+K33</f>
        <v>141.661</v>
      </c>
      <c r="L27" s="44"/>
      <c r="M27" s="44">
        <f>M28+M29+M32+M33</f>
        <v>597.242776</v>
      </c>
      <c r="N27" s="46" t="e">
        <f>M27/J27</f>
        <v>#DIV/0!</v>
      </c>
      <c r="O27" s="44"/>
      <c r="P27" s="45" t="e">
        <f t="shared" si="1"/>
        <v>#DIV/0!</v>
      </c>
    </row>
    <row r="28" spans="1:16" ht="18.75" hidden="1">
      <c r="A28" s="26" t="s">
        <v>56</v>
      </c>
      <c r="B28" s="20" t="s">
        <v>136</v>
      </c>
      <c r="C28" s="11" t="s">
        <v>178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5"/>
      <c r="P28" s="45"/>
    </row>
    <row r="29" spans="1:16" ht="18.75" hidden="1">
      <c r="A29" s="26" t="s">
        <v>57</v>
      </c>
      <c r="B29" s="20" t="s">
        <v>219</v>
      </c>
      <c r="C29" s="11" t="s">
        <v>178</v>
      </c>
      <c r="D29" s="47"/>
      <c r="E29" s="47"/>
      <c r="F29" s="45"/>
      <c r="G29" s="47"/>
      <c r="H29" s="47"/>
      <c r="I29" s="45"/>
      <c r="J29" s="47"/>
      <c r="K29" s="47"/>
      <c r="L29" s="44"/>
      <c r="M29" s="47"/>
      <c r="N29" s="46"/>
      <c r="O29" s="47"/>
      <c r="P29" s="45"/>
    </row>
    <row r="30" spans="1:16" ht="18.75" hidden="1">
      <c r="A30" s="26" t="s">
        <v>58</v>
      </c>
      <c r="B30" s="20" t="s">
        <v>137</v>
      </c>
      <c r="C30" s="11" t="s">
        <v>178</v>
      </c>
      <c r="D30" s="47"/>
      <c r="E30" s="47"/>
      <c r="F30" s="45"/>
      <c r="G30" s="47"/>
      <c r="H30" s="47"/>
      <c r="I30" s="45"/>
      <c r="J30" s="47"/>
      <c r="K30" s="47"/>
      <c r="L30" s="47"/>
      <c r="M30" s="47"/>
      <c r="N30" s="46"/>
      <c r="O30" s="47"/>
      <c r="P30" s="45"/>
    </row>
    <row r="31" spans="1:16" ht="19.5" hidden="1">
      <c r="A31" s="26" t="s">
        <v>59</v>
      </c>
      <c r="B31" s="20" t="s">
        <v>133</v>
      </c>
      <c r="C31" s="11" t="s">
        <v>22</v>
      </c>
      <c r="D31" s="45"/>
      <c r="E31" s="45"/>
      <c r="F31" s="45"/>
      <c r="G31" s="45"/>
      <c r="H31" s="45"/>
      <c r="I31" s="45"/>
      <c r="J31" s="45"/>
      <c r="K31" s="45"/>
      <c r="L31" s="42"/>
      <c r="M31" s="45"/>
      <c r="N31" s="46"/>
      <c r="O31" s="45"/>
      <c r="P31" s="45"/>
    </row>
    <row r="32" spans="1:16" ht="18.75" hidden="1">
      <c r="A32" s="26" t="s">
        <v>60</v>
      </c>
      <c r="B32" s="20" t="s">
        <v>138</v>
      </c>
      <c r="C32" s="11" t="s">
        <v>178</v>
      </c>
      <c r="D32" s="47"/>
      <c r="E32" s="47"/>
      <c r="F32" s="45"/>
      <c r="G32" s="47"/>
      <c r="H32" s="47">
        <f>41.557+336.688+32.122</f>
        <v>410.367</v>
      </c>
      <c r="I32" s="45"/>
      <c r="J32" s="47"/>
      <c r="K32" s="47">
        <f>19.74+113.244+8.677</f>
        <v>141.661</v>
      </c>
      <c r="L32" s="47"/>
      <c r="M32" s="47">
        <f>K32*4*1.054</f>
        <v>597.242776</v>
      </c>
      <c r="N32" s="46"/>
      <c r="O32" s="47"/>
      <c r="P32" s="45"/>
    </row>
    <row r="33" spans="1:16" ht="31.5" hidden="1">
      <c r="A33" s="26" t="s">
        <v>61</v>
      </c>
      <c r="B33" s="20" t="s">
        <v>139</v>
      </c>
      <c r="C33" s="11" t="s">
        <v>178</v>
      </c>
      <c r="D33" s="47"/>
      <c r="E33" s="47"/>
      <c r="F33" s="45"/>
      <c r="G33" s="47"/>
      <c r="H33" s="47"/>
      <c r="I33" s="45"/>
      <c r="J33" s="47"/>
      <c r="K33" s="47"/>
      <c r="L33" s="47"/>
      <c r="M33" s="47"/>
      <c r="N33" s="46"/>
      <c r="O33" s="47"/>
      <c r="P33" s="45"/>
    </row>
    <row r="34" spans="1:16" ht="18.75" customHeight="1" hidden="1">
      <c r="A34" s="25" t="s">
        <v>216</v>
      </c>
      <c r="B34" s="19" t="s">
        <v>140</v>
      </c>
      <c r="C34" s="11" t="s">
        <v>178</v>
      </c>
      <c r="D34" s="44">
        <f>3373.7+620</f>
        <v>3993.7</v>
      </c>
      <c r="E34" s="44">
        <f>4570.2+946.98</f>
        <v>5517.18</v>
      </c>
      <c r="F34" s="45">
        <f>E34-D34</f>
        <v>1523.4800000000005</v>
      </c>
      <c r="G34" s="44">
        <f>3108.3+280</f>
        <v>3388.3</v>
      </c>
      <c r="H34" s="44">
        <f>H35+H36+H39+H40</f>
        <v>1059.749</v>
      </c>
      <c r="I34" s="45">
        <f>H34-G34</f>
        <v>-2328.5510000000004</v>
      </c>
      <c r="J34" s="44">
        <v>3388.3</v>
      </c>
      <c r="K34" s="44">
        <f>K35+K36+K39+K40</f>
        <v>71.723</v>
      </c>
      <c r="L34" s="44"/>
      <c r="M34" s="44">
        <f>M35+M36+M39+M40</f>
        <v>2397.48955</v>
      </c>
      <c r="N34" s="46">
        <f>M34/J34</f>
        <v>0.7075788891184369</v>
      </c>
      <c r="O34" s="44"/>
      <c r="P34" s="45">
        <f t="shared" si="1"/>
        <v>0</v>
      </c>
    </row>
    <row r="35" spans="1:16" ht="18.75" hidden="1">
      <c r="A35" s="26" t="s">
        <v>62</v>
      </c>
      <c r="B35" s="20" t="s">
        <v>136</v>
      </c>
      <c r="C35" s="11" t="s">
        <v>178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45"/>
      <c r="P35" s="45"/>
    </row>
    <row r="36" spans="1:16" ht="18.75" hidden="1">
      <c r="A36" s="26" t="s">
        <v>63</v>
      </c>
      <c r="B36" s="20" t="s">
        <v>219</v>
      </c>
      <c r="C36" s="11" t="s">
        <v>178</v>
      </c>
      <c r="D36" s="47"/>
      <c r="E36" s="47"/>
      <c r="F36" s="45"/>
      <c r="G36" s="47"/>
      <c r="H36" s="47"/>
      <c r="I36" s="45"/>
      <c r="J36" s="47"/>
      <c r="K36" s="47"/>
      <c r="L36" s="44"/>
      <c r="M36" s="47"/>
      <c r="N36" s="46"/>
      <c r="O36" s="47"/>
      <c r="P36" s="45"/>
    </row>
    <row r="37" spans="1:16" ht="18.75" hidden="1">
      <c r="A37" s="26" t="s">
        <v>64</v>
      </c>
      <c r="B37" s="20" t="s">
        <v>137</v>
      </c>
      <c r="C37" s="11" t="s">
        <v>178</v>
      </c>
      <c r="D37" s="47"/>
      <c r="E37" s="47"/>
      <c r="F37" s="45"/>
      <c r="G37" s="47"/>
      <c r="H37" s="47"/>
      <c r="I37" s="45"/>
      <c r="J37" s="47"/>
      <c r="K37" s="47"/>
      <c r="L37" s="47"/>
      <c r="M37" s="47"/>
      <c r="N37" s="46"/>
      <c r="O37" s="47"/>
      <c r="P37" s="45"/>
    </row>
    <row r="38" spans="1:16" ht="19.5" hidden="1">
      <c r="A38" s="26" t="s">
        <v>65</v>
      </c>
      <c r="B38" s="20" t="s">
        <v>133</v>
      </c>
      <c r="C38" s="11" t="s">
        <v>22</v>
      </c>
      <c r="D38" s="45"/>
      <c r="E38" s="45"/>
      <c r="F38" s="45"/>
      <c r="G38" s="45"/>
      <c r="H38" s="45"/>
      <c r="I38" s="45"/>
      <c r="J38" s="45"/>
      <c r="K38" s="45"/>
      <c r="L38" s="42"/>
      <c r="M38" s="45"/>
      <c r="N38" s="46"/>
      <c r="O38" s="45"/>
      <c r="P38" s="45"/>
    </row>
    <row r="39" spans="1:16" ht="18.75" hidden="1">
      <c r="A39" s="26" t="s">
        <v>66</v>
      </c>
      <c r="B39" s="20" t="s">
        <v>138</v>
      </c>
      <c r="C39" s="11" t="s">
        <v>178</v>
      </c>
      <c r="D39" s="47">
        <f>3373.7+620</f>
        <v>3993.7</v>
      </c>
      <c r="E39" s="47">
        <f>4570.2+946.98</f>
        <v>5517.18</v>
      </c>
      <c r="F39" s="45">
        <f>E39-D39</f>
        <v>1523.4800000000005</v>
      </c>
      <c r="G39" s="47">
        <f>3108.3+280</f>
        <v>3388.3</v>
      </c>
      <c r="H39" s="47">
        <f>1027.015+32.734</f>
        <v>1059.749</v>
      </c>
      <c r="I39" s="45">
        <f>H39-G39</f>
        <v>-2328.5510000000004</v>
      </c>
      <c r="J39" s="47">
        <v>3388.3</v>
      </c>
      <c r="K39" s="47">
        <f>62.476+9.247</f>
        <v>71.723</v>
      </c>
      <c r="L39" s="47"/>
      <c r="M39" s="47">
        <f>(5037*6.23+3027*5.88+3961*5.88+3961*5.88+3009*5.88+7521*5.88+3961*5.88+12309*6.23+3961*5.88+3027*5.88+3487*6.23+3991*5.88+3009*5.88+3009*5.88+31458*6.23+7181+5.88+4769*5.88+3943*5.88+3943*5.88+7181*5.88+7181*5.88+7195*5.88+7181*5.88+8806*5.88+6608*6.23+3991*5.88+3991*5.88+3991*5.88+12586*6.23+4008*5.88+3991*5.88+21592*5.88+21592*5.88+33446*5.88+33121*5.88+17561*5.88+17561*5.88+17561*5.88+33121*5.88+22611*5.88)/1000</f>
        <v>2397.48955</v>
      </c>
      <c r="N39" s="46">
        <f>M39/J39</f>
        <v>0.7075788891184369</v>
      </c>
      <c r="O39" s="47"/>
      <c r="P39" s="45">
        <f>O39/J39</f>
        <v>0</v>
      </c>
    </row>
    <row r="40" spans="1:16" ht="31.5" hidden="1">
      <c r="A40" s="26" t="s">
        <v>67</v>
      </c>
      <c r="B40" s="12" t="s">
        <v>139</v>
      </c>
      <c r="C40" s="11" t="s">
        <v>178</v>
      </c>
      <c r="D40" s="47"/>
      <c r="E40" s="47"/>
      <c r="F40" s="45"/>
      <c r="G40" s="47"/>
      <c r="H40" s="47"/>
      <c r="I40" s="45"/>
      <c r="J40" s="47"/>
      <c r="K40" s="47"/>
      <c r="L40" s="47"/>
      <c r="M40" s="47"/>
      <c r="N40" s="46"/>
      <c r="O40" s="47"/>
      <c r="P40" s="45"/>
    </row>
    <row r="41" spans="1:16" ht="31.5" hidden="1">
      <c r="A41" s="25" t="s">
        <v>217</v>
      </c>
      <c r="B41" s="21" t="s">
        <v>141</v>
      </c>
      <c r="C41" s="11" t="s">
        <v>178</v>
      </c>
      <c r="D41" s="44"/>
      <c r="E41" s="44"/>
      <c r="F41" s="45"/>
      <c r="G41" s="44"/>
      <c r="H41" s="44"/>
      <c r="I41" s="45"/>
      <c r="J41" s="44"/>
      <c r="K41" s="44"/>
      <c r="L41" s="47"/>
      <c r="M41" s="44"/>
      <c r="N41" s="46"/>
      <c r="O41" s="44"/>
      <c r="P41" s="45"/>
    </row>
    <row r="42" spans="1:16" ht="18.75" hidden="1">
      <c r="A42" s="26" t="s">
        <v>68</v>
      </c>
      <c r="B42" s="20" t="s">
        <v>142</v>
      </c>
      <c r="C42" s="9" t="s">
        <v>143</v>
      </c>
      <c r="D42" s="47"/>
      <c r="E42" s="47"/>
      <c r="F42" s="45"/>
      <c r="G42" s="47"/>
      <c r="H42" s="47"/>
      <c r="I42" s="45"/>
      <c r="J42" s="47"/>
      <c r="K42" s="47"/>
      <c r="L42" s="47"/>
      <c r="M42" s="47"/>
      <c r="N42" s="46"/>
      <c r="O42" s="47"/>
      <c r="P42" s="45"/>
    </row>
    <row r="43" spans="1:16" ht="18.75" hidden="1">
      <c r="A43" s="26" t="s">
        <v>69</v>
      </c>
      <c r="B43" s="20" t="s">
        <v>144</v>
      </c>
      <c r="C43" s="9" t="s">
        <v>23</v>
      </c>
      <c r="D43" s="47"/>
      <c r="E43" s="47"/>
      <c r="F43" s="45"/>
      <c r="G43" s="47"/>
      <c r="H43" s="47"/>
      <c r="I43" s="45"/>
      <c r="J43" s="47"/>
      <c r="K43" s="47"/>
      <c r="L43" s="47"/>
      <c r="M43" s="47"/>
      <c r="N43" s="46"/>
      <c r="O43" s="47"/>
      <c r="P43" s="45"/>
    </row>
    <row r="44" spans="1:16" ht="18.75" hidden="1">
      <c r="A44" s="25" t="s">
        <v>218</v>
      </c>
      <c r="B44" s="19" t="s">
        <v>145</v>
      </c>
      <c r="C44" s="11" t="s">
        <v>178</v>
      </c>
      <c r="D44" s="44">
        <f>D45+D46+D47</f>
        <v>1009.37</v>
      </c>
      <c r="E44" s="44">
        <f>E45+E46+E47</f>
        <v>489.17</v>
      </c>
      <c r="F44" s="45">
        <f>E44-D44</f>
        <v>-520.2</v>
      </c>
      <c r="G44" s="44">
        <f>G45+G46+G47</f>
        <v>1028.06</v>
      </c>
      <c r="H44" s="44">
        <f>H45+H46+H47</f>
        <v>235.50100000000003</v>
      </c>
      <c r="I44" s="45">
        <f>H44-G44</f>
        <v>-792.559</v>
      </c>
      <c r="J44" s="44">
        <f>J45+J46+J47</f>
        <v>1028.06</v>
      </c>
      <c r="K44" s="44">
        <f>K45+K46+K47</f>
        <v>63.643</v>
      </c>
      <c r="L44" s="44"/>
      <c r="M44" s="44">
        <f>M45+M46+M47</f>
        <v>235.50100000000003</v>
      </c>
      <c r="N44" s="46">
        <f>M44/J44</f>
        <v>0.22907320584401694</v>
      </c>
      <c r="O44" s="44"/>
      <c r="P44" s="45">
        <f t="shared" si="1"/>
        <v>0</v>
      </c>
    </row>
    <row r="45" spans="1:24" ht="37.5" customHeight="1" hidden="1">
      <c r="A45" s="26" t="s">
        <v>70</v>
      </c>
      <c r="B45" s="20" t="s">
        <v>146</v>
      </c>
      <c r="C45" s="11" t="s">
        <v>178</v>
      </c>
      <c r="D45" s="47">
        <v>366.4</v>
      </c>
      <c r="E45" s="47"/>
      <c r="F45" s="45">
        <f>E45-D45</f>
        <v>-366.4</v>
      </c>
      <c r="G45" s="47">
        <v>385.09</v>
      </c>
      <c r="H45" s="47">
        <f>8.204+2.66</f>
        <v>10.864</v>
      </c>
      <c r="I45" s="45">
        <f>H45-G45</f>
        <v>-374.226</v>
      </c>
      <c r="J45" s="47">
        <v>385.09</v>
      </c>
      <c r="K45" s="47">
        <f>0.212</f>
        <v>0.212</v>
      </c>
      <c r="L45" s="47"/>
      <c r="M45" s="47">
        <f>H45</f>
        <v>10.864</v>
      </c>
      <c r="N45" s="46">
        <f>M45/J45</f>
        <v>0.028211586901763227</v>
      </c>
      <c r="O45" s="47"/>
      <c r="P45" s="45">
        <f t="shared" si="1"/>
        <v>0</v>
      </c>
      <c r="Q45" s="75" t="s">
        <v>258</v>
      </c>
      <c r="R45" s="76"/>
      <c r="S45" s="76"/>
      <c r="T45" s="76"/>
      <c r="U45" s="76"/>
      <c r="V45" s="76"/>
      <c r="W45" s="76"/>
      <c r="X45" s="76"/>
    </row>
    <row r="46" spans="1:36" ht="37.5" customHeight="1" hidden="1">
      <c r="A46" s="26" t="s">
        <v>71</v>
      </c>
      <c r="B46" s="20" t="s">
        <v>147</v>
      </c>
      <c r="C46" s="11" t="s">
        <v>178</v>
      </c>
      <c r="D46" s="47">
        <v>642.97</v>
      </c>
      <c r="E46" s="47">
        <v>489.17</v>
      </c>
      <c r="F46" s="45">
        <f>E46-D46</f>
        <v>-153.8</v>
      </c>
      <c r="G46" s="47">
        <v>642.97</v>
      </c>
      <c r="H46" s="47">
        <f>89.013+13.1+4.968+21</f>
        <v>128.08100000000002</v>
      </c>
      <c r="I46" s="45">
        <f>H46-G46</f>
        <v>-514.889</v>
      </c>
      <c r="J46" s="47">
        <v>642.97</v>
      </c>
      <c r="K46" s="47">
        <f>28.081+11.85+23.5</f>
        <v>63.431</v>
      </c>
      <c r="L46" s="47"/>
      <c r="M46" s="47">
        <f>H46</f>
        <v>128.08100000000002</v>
      </c>
      <c r="N46" s="46">
        <f>M46/J46</f>
        <v>0.1992021400687435</v>
      </c>
      <c r="O46" s="47"/>
      <c r="P46" s="45">
        <f t="shared" si="1"/>
        <v>0</v>
      </c>
      <c r="Q46" s="77" t="s">
        <v>259</v>
      </c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17" ht="18.75" hidden="1">
      <c r="A47" s="26" t="s">
        <v>72</v>
      </c>
      <c r="B47" s="20" t="s">
        <v>148</v>
      </c>
      <c r="C47" s="11" t="s">
        <v>178</v>
      </c>
      <c r="D47" s="47"/>
      <c r="E47" s="47"/>
      <c r="F47" s="45"/>
      <c r="G47" s="47"/>
      <c r="H47" s="47">
        <f>96.556</f>
        <v>96.556</v>
      </c>
      <c r="I47" s="45"/>
      <c r="J47" s="47"/>
      <c r="K47" s="47"/>
      <c r="L47" s="47"/>
      <c r="M47" s="47">
        <f>H47</f>
        <v>96.556</v>
      </c>
      <c r="N47" s="46"/>
      <c r="O47" s="47"/>
      <c r="P47" s="45"/>
      <c r="Q47" s="8" t="s">
        <v>257</v>
      </c>
    </row>
    <row r="48" spans="1:16" ht="18.75" hidden="1">
      <c r="A48" s="25" t="s">
        <v>73</v>
      </c>
      <c r="B48" s="19" t="s">
        <v>149</v>
      </c>
      <c r="C48" s="11" t="s">
        <v>178</v>
      </c>
      <c r="D48" s="44">
        <f>D49+D50+D51+D52+D53</f>
        <v>235.89</v>
      </c>
      <c r="E48" s="44">
        <f>E49+E50+E51+E52+E53</f>
        <v>483.88</v>
      </c>
      <c r="F48" s="45">
        <f>E48-D48</f>
        <v>247.99</v>
      </c>
      <c r="G48" s="44">
        <f>G49+G50+G51+G52+G53</f>
        <v>304.04</v>
      </c>
      <c r="H48" s="44">
        <f>H49+H50+H51+H52+H53</f>
        <v>817.8899999999999</v>
      </c>
      <c r="I48" s="45">
        <f>H48-G48</f>
        <v>513.8499999999999</v>
      </c>
      <c r="J48" s="44">
        <f>J49+J50+J51+J52+J53</f>
        <v>304.05</v>
      </c>
      <c r="K48" s="44">
        <f>K49+K50+K51+K52+K53</f>
        <v>49.83</v>
      </c>
      <c r="L48" s="44"/>
      <c r="M48" s="44">
        <f>M49+M50+M51+M52+M53</f>
        <v>1049.7625733333334</v>
      </c>
      <c r="N48" s="46">
        <f>M48/J48</f>
        <v>3.4525984980540483</v>
      </c>
      <c r="O48" s="44"/>
      <c r="P48" s="45">
        <f t="shared" si="1"/>
        <v>0</v>
      </c>
    </row>
    <row r="49" spans="1:16" ht="18.75" hidden="1">
      <c r="A49" s="26" t="s">
        <v>74</v>
      </c>
      <c r="B49" s="20" t="s">
        <v>150</v>
      </c>
      <c r="C49" s="11" t="s">
        <v>178</v>
      </c>
      <c r="D49" s="47">
        <f>44.21+30.08</f>
        <v>74.28999999999999</v>
      </c>
      <c r="E49" s="47">
        <f>27.75+274.1</f>
        <v>301.85</v>
      </c>
      <c r="F49" s="45">
        <f>E49-D49</f>
        <v>227.56000000000003</v>
      </c>
      <c r="G49" s="47">
        <v>72.5</v>
      </c>
      <c r="H49" s="47">
        <v>208.76</v>
      </c>
      <c r="I49" s="45">
        <f>H49-G49</f>
        <v>136.26</v>
      </c>
      <c r="J49" s="47">
        <v>72.51</v>
      </c>
      <c r="K49" s="47">
        <v>45.65</v>
      </c>
      <c r="L49" s="47"/>
      <c r="M49" s="47">
        <f>(M106*0.7*70+M106*0.3*654)/1000</f>
        <v>440.6325733333333</v>
      </c>
      <c r="N49" s="46">
        <f>M49/J49</f>
        <v>6.076852480117684</v>
      </c>
      <c r="O49" s="47"/>
      <c r="P49" s="45">
        <f t="shared" si="1"/>
        <v>0</v>
      </c>
    </row>
    <row r="50" spans="1:16" ht="18.75" hidden="1">
      <c r="A50" s="26" t="s">
        <v>75</v>
      </c>
      <c r="B50" s="20" t="s">
        <v>151</v>
      </c>
      <c r="C50" s="11" t="s">
        <v>178</v>
      </c>
      <c r="D50" s="47">
        <v>100.5</v>
      </c>
      <c r="E50" s="47">
        <v>99</v>
      </c>
      <c r="F50" s="45">
        <f>E50-D50</f>
        <v>-1.5</v>
      </c>
      <c r="G50" s="47">
        <v>139.1</v>
      </c>
      <c r="H50" s="47">
        <v>99.08</v>
      </c>
      <c r="I50" s="45">
        <f>H50-G50</f>
        <v>-40.019999999999996</v>
      </c>
      <c r="J50" s="47">
        <v>139.1</v>
      </c>
      <c r="K50" s="47"/>
      <c r="L50" s="47"/>
      <c r="M50" s="47">
        <f>H50</f>
        <v>99.08</v>
      </c>
      <c r="N50" s="46">
        <f>M50/J50</f>
        <v>0.7122933141624731</v>
      </c>
      <c r="O50" s="47"/>
      <c r="P50" s="45">
        <f t="shared" si="1"/>
        <v>0</v>
      </c>
    </row>
    <row r="51" spans="1:16" ht="18.75" hidden="1">
      <c r="A51" s="26" t="s">
        <v>76</v>
      </c>
      <c r="B51" s="20" t="s">
        <v>180</v>
      </c>
      <c r="C51" s="11" t="s">
        <v>178</v>
      </c>
      <c r="D51" s="47"/>
      <c r="E51" s="47"/>
      <c r="F51" s="45"/>
      <c r="G51" s="47"/>
      <c r="H51" s="47">
        <v>425.07</v>
      </c>
      <c r="I51" s="45"/>
      <c r="J51" s="47"/>
      <c r="K51" s="47"/>
      <c r="L51" s="47"/>
      <c r="M51" s="47">
        <f>H51</f>
        <v>425.07</v>
      </c>
      <c r="N51" s="46"/>
      <c r="O51" s="47"/>
      <c r="P51" s="45"/>
    </row>
    <row r="52" spans="1:16" ht="18.75" hidden="1">
      <c r="A52" s="26" t="s">
        <v>77</v>
      </c>
      <c r="B52" s="20" t="s">
        <v>152</v>
      </c>
      <c r="C52" s="11" t="s">
        <v>178</v>
      </c>
      <c r="D52" s="47">
        <v>61.1</v>
      </c>
      <c r="E52" s="47">
        <v>57.06</v>
      </c>
      <c r="F52" s="45">
        <f aca="true" t="shared" si="5" ref="F52:F58">E52-D52</f>
        <v>-4.039999999999999</v>
      </c>
      <c r="G52" s="47">
        <v>64.46</v>
      </c>
      <c r="H52" s="47">
        <v>51.19</v>
      </c>
      <c r="I52" s="45">
        <f aca="true" t="shared" si="6" ref="I52:I58">H52-G52</f>
        <v>-13.269999999999996</v>
      </c>
      <c r="J52" s="47">
        <v>64.46</v>
      </c>
      <c r="K52" s="47"/>
      <c r="L52" s="47"/>
      <c r="M52" s="47">
        <f>H52</f>
        <v>51.19</v>
      </c>
      <c r="N52" s="46">
        <f>M52/J52</f>
        <v>0.7941358982314615</v>
      </c>
      <c r="O52" s="47"/>
      <c r="P52" s="45">
        <f t="shared" si="1"/>
        <v>0</v>
      </c>
    </row>
    <row r="53" spans="1:16" ht="18.75" hidden="1">
      <c r="A53" s="26" t="s">
        <v>44</v>
      </c>
      <c r="B53" s="20" t="s">
        <v>45</v>
      </c>
      <c r="C53" s="11" t="s">
        <v>178</v>
      </c>
      <c r="D53" s="47"/>
      <c r="E53" s="47">
        <v>25.97</v>
      </c>
      <c r="F53" s="45">
        <f t="shared" si="5"/>
        <v>25.97</v>
      </c>
      <c r="G53" s="47">
        <v>27.98</v>
      </c>
      <c r="H53" s="47">
        <v>33.79</v>
      </c>
      <c r="I53" s="45">
        <f t="shared" si="6"/>
        <v>5.809999999999999</v>
      </c>
      <c r="J53" s="47">
        <v>27.98</v>
      </c>
      <c r="K53" s="47">
        <v>4.18</v>
      </c>
      <c r="L53" s="47"/>
      <c r="M53" s="47">
        <f>H53</f>
        <v>33.79</v>
      </c>
      <c r="N53" s="46">
        <f>M53/J53</f>
        <v>1.2076483202287347</v>
      </c>
      <c r="O53" s="47"/>
      <c r="P53" s="45">
        <f t="shared" si="1"/>
        <v>0</v>
      </c>
    </row>
    <row r="54" spans="1:16" ht="18.75" hidden="1">
      <c r="A54" s="25" t="s">
        <v>78</v>
      </c>
      <c r="B54" s="19" t="s">
        <v>153</v>
      </c>
      <c r="C54" s="11" t="s">
        <v>178</v>
      </c>
      <c r="D54" s="44">
        <f>11742.52+2063.9</f>
        <v>13806.42</v>
      </c>
      <c r="E54" s="44">
        <f>11010.45+1157.6</f>
        <v>12168.050000000001</v>
      </c>
      <c r="F54" s="45">
        <f t="shared" si="5"/>
        <v>-1638.369999999999</v>
      </c>
      <c r="G54" s="44">
        <f>10812.01+2197.07</f>
        <v>13009.08</v>
      </c>
      <c r="H54" s="44">
        <f>H55+H56+H59+H62+H63</f>
        <v>15590.9432956</v>
      </c>
      <c r="I54" s="45">
        <f t="shared" si="6"/>
        <v>2581.8632956</v>
      </c>
      <c r="J54" s="44">
        <f>12488.46+2326.7</f>
        <v>14815.16</v>
      </c>
      <c r="K54" s="44">
        <f>K55+K56+K59+K62+K63</f>
        <v>3904.9617906000003</v>
      </c>
      <c r="L54" s="44"/>
      <c r="M54" s="44">
        <f>M55+M56+M59+M62+M63</f>
        <v>15615.585136040001</v>
      </c>
      <c r="N54" s="46">
        <f>M54/J54</f>
        <v>1.0540274378433983</v>
      </c>
      <c r="O54" s="44"/>
      <c r="P54" s="45">
        <f t="shared" si="1"/>
        <v>0</v>
      </c>
    </row>
    <row r="55" spans="1:16" ht="18.75" hidden="1">
      <c r="A55" s="26" t="s">
        <v>79</v>
      </c>
      <c r="B55" s="20" t="s">
        <v>154</v>
      </c>
      <c r="C55" s="11" t="s">
        <v>178</v>
      </c>
      <c r="D55" s="47">
        <f>7764.05+1537.9</f>
        <v>9301.95</v>
      </c>
      <c r="E55" s="47">
        <f>6738.73+824.6</f>
        <v>7563.33</v>
      </c>
      <c r="F55" s="45">
        <f t="shared" si="5"/>
        <v>-1738.6200000000008</v>
      </c>
      <c r="G55" s="47">
        <f>8160+1616.33</f>
        <v>9776.33</v>
      </c>
      <c r="H55" s="47">
        <v>11039.593</v>
      </c>
      <c r="I55" s="45">
        <f t="shared" si="6"/>
        <v>1263.2630000000008</v>
      </c>
      <c r="J55" s="47">
        <f>8641.44+1711.69</f>
        <v>10353.130000000001</v>
      </c>
      <c r="K55" s="47">
        <v>2603.437</v>
      </c>
      <c r="L55" s="47"/>
      <c r="M55" s="47">
        <f>J55*1.054</f>
        <v>10912.199020000002</v>
      </c>
      <c r="N55" s="46">
        <f>M55/J55</f>
        <v>1.054</v>
      </c>
      <c r="O55" s="47"/>
      <c r="P55" s="45">
        <f t="shared" si="1"/>
        <v>0</v>
      </c>
    </row>
    <row r="56" spans="1:16" ht="18.75" hidden="1">
      <c r="A56" s="26" t="s">
        <v>80</v>
      </c>
      <c r="B56" s="20" t="s">
        <v>219</v>
      </c>
      <c r="C56" s="11" t="s">
        <v>178</v>
      </c>
      <c r="D56" s="47">
        <f>2655.31+526</f>
        <v>3181.31</v>
      </c>
      <c r="E56" s="47">
        <f>2304.65+200.5</f>
        <v>2505.15</v>
      </c>
      <c r="F56" s="45">
        <f t="shared" si="5"/>
        <v>-676.1599999999999</v>
      </c>
      <c r="G56" s="47">
        <f>2464.3+488.1</f>
        <v>2952.4</v>
      </c>
      <c r="H56" s="47">
        <f>H55*0.2892</f>
        <v>3192.6502956000004</v>
      </c>
      <c r="I56" s="45">
        <f t="shared" si="6"/>
        <v>240.2502956000003</v>
      </c>
      <c r="J56" s="47">
        <f>2609.71+516.95</f>
        <v>3126.66</v>
      </c>
      <c r="K56" s="47">
        <f>K55*0.2938</f>
        <v>764.8897906</v>
      </c>
      <c r="L56" s="47"/>
      <c r="M56" s="47">
        <f>M55*30.2/100</f>
        <v>3295.48410404</v>
      </c>
      <c r="N56" s="46">
        <f aca="true" t="shared" si="7" ref="N56:N63">M56/J56</f>
        <v>1.0539950311322626</v>
      </c>
      <c r="O56" s="47"/>
      <c r="P56" s="45">
        <f t="shared" si="1"/>
        <v>0</v>
      </c>
    </row>
    <row r="57" spans="1:16" ht="18.75" hidden="1">
      <c r="A57" s="26" t="s">
        <v>81</v>
      </c>
      <c r="B57" s="20" t="s">
        <v>155</v>
      </c>
      <c r="C57" s="11" t="s">
        <v>22</v>
      </c>
      <c r="D57" s="47">
        <f>105+11</f>
        <v>116</v>
      </c>
      <c r="E57" s="47">
        <f>105+11</f>
        <v>116</v>
      </c>
      <c r="F57" s="45">
        <f t="shared" si="5"/>
        <v>0</v>
      </c>
      <c r="G57" s="47">
        <f>105+11</f>
        <v>116</v>
      </c>
      <c r="H57" s="47">
        <f>105+11</f>
        <v>116</v>
      </c>
      <c r="I57" s="45">
        <f t="shared" si="6"/>
        <v>0</v>
      </c>
      <c r="J57" s="47">
        <f>70+11</f>
        <v>81</v>
      </c>
      <c r="K57" s="47">
        <f>70+11</f>
        <v>81</v>
      </c>
      <c r="L57" s="47"/>
      <c r="M57" s="47">
        <f>J57</f>
        <v>81</v>
      </c>
      <c r="N57" s="46">
        <f t="shared" si="7"/>
        <v>1</v>
      </c>
      <c r="O57" s="47"/>
      <c r="P57" s="45">
        <f t="shared" si="1"/>
        <v>0</v>
      </c>
    </row>
    <row r="58" spans="1:16" ht="18.75" hidden="1">
      <c r="A58" s="26" t="s">
        <v>82</v>
      </c>
      <c r="B58" s="20" t="s">
        <v>133</v>
      </c>
      <c r="C58" s="11" t="s">
        <v>23</v>
      </c>
      <c r="D58" s="46">
        <v>6.682</v>
      </c>
      <c r="E58" s="46">
        <v>5.433</v>
      </c>
      <c r="F58" s="45">
        <f t="shared" si="5"/>
        <v>-1.2490000000000006</v>
      </c>
      <c r="G58" s="46">
        <v>7.023</v>
      </c>
      <c r="H58" s="46">
        <f>H55/H57/12</f>
        <v>7.93074209770115</v>
      </c>
      <c r="I58" s="45">
        <f t="shared" si="6"/>
        <v>0.9077420977011501</v>
      </c>
      <c r="J58" s="46">
        <v>10.651</v>
      </c>
      <c r="K58" s="46">
        <f>K55/K57/3</f>
        <v>10.713732510288066</v>
      </c>
      <c r="L58" s="46"/>
      <c r="M58" s="46">
        <f>M55/M57/12</f>
        <v>11.226542201646092</v>
      </c>
      <c r="N58" s="46">
        <f t="shared" si="7"/>
        <v>1.0540364474364936</v>
      </c>
      <c r="O58" s="46"/>
      <c r="P58" s="45">
        <f t="shared" si="1"/>
        <v>0</v>
      </c>
    </row>
    <row r="59" spans="1:16" ht="18.75" hidden="1">
      <c r="A59" s="26" t="s">
        <v>83</v>
      </c>
      <c r="B59" s="20" t="s">
        <v>156</v>
      </c>
      <c r="C59" s="11" t="s">
        <v>178</v>
      </c>
      <c r="D59" s="47">
        <v>19.26</v>
      </c>
      <c r="E59" s="47">
        <v>20.9</v>
      </c>
      <c r="F59" s="45">
        <f>E59-D59</f>
        <v>1.639999999999997</v>
      </c>
      <c r="G59" s="47">
        <v>22.02</v>
      </c>
      <c r="H59" s="47">
        <f>H60*H61</f>
        <v>21.06</v>
      </c>
      <c r="I59" s="45">
        <f>H59-G59</f>
        <v>-0.9600000000000009</v>
      </c>
      <c r="J59" s="47">
        <v>24.44</v>
      </c>
      <c r="K59" s="47">
        <f>K60*K61</f>
        <v>5.775</v>
      </c>
      <c r="L59" s="47"/>
      <c r="M59" s="47">
        <f>M60*M61</f>
        <v>26.181792000000005</v>
      </c>
      <c r="N59" s="46">
        <f t="shared" si="7"/>
        <v>1.0712680851063832</v>
      </c>
      <c r="O59" s="47"/>
      <c r="P59" s="45">
        <f t="shared" si="1"/>
        <v>0</v>
      </c>
    </row>
    <row r="60" spans="1:16" ht="18.75" hidden="1">
      <c r="A60" s="26" t="s">
        <v>84</v>
      </c>
      <c r="B60" s="20" t="s">
        <v>122</v>
      </c>
      <c r="C60" s="11" t="s">
        <v>123</v>
      </c>
      <c r="D60" s="47">
        <v>6</v>
      </c>
      <c r="E60" s="47">
        <v>6</v>
      </c>
      <c r="F60" s="45">
        <f>E60-D60</f>
        <v>0</v>
      </c>
      <c r="G60" s="47">
        <v>6</v>
      </c>
      <c r="H60" s="47">
        <v>6</v>
      </c>
      <c r="I60" s="45">
        <f>H60-G60</f>
        <v>0</v>
      </c>
      <c r="J60" s="47">
        <v>6</v>
      </c>
      <c r="K60" s="47">
        <f>6/4</f>
        <v>1.5</v>
      </c>
      <c r="L60" s="47"/>
      <c r="M60" s="47">
        <v>6</v>
      </c>
      <c r="N60" s="46">
        <f t="shared" si="7"/>
        <v>1</v>
      </c>
      <c r="O60" s="47"/>
      <c r="P60" s="45">
        <f t="shared" si="1"/>
        <v>0</v>
      </c>
    </row>
    <row r="61" spans="1:16" ht="18.75" hidden="1">
      <c r="A61" s="26" t="s">
        <v>85</v>
      </c>
      <c r="B61" s="20" t="s">
        <v>157</v>
      </c>
      <c r="C61" s="9" t="s">
        <v>23</v>
      </c>
      <c r="D61" s="47">
        <f>D59/D60</f>
        <v>3.2100000000000004</v>
      </c>
      <c r="E61" s="47">
        <f>E59/E60</f>
        <v>3.483333333333333</v>
      </c>
      <c r="F61" s="45">
        <f>E61-D61</f>
        <v>0.27333333333333254</v>
      </c>
      <c r="G61" s="47">
        <f>G59/G60</f>
        <v>3.67</v>
      </c>
      <c r="H61" s="47">
        <v>3.51</v>
      </c>
      <c r="I61" s="45">
        <f>H61-G61</f>
        <v>-0.16000000000000014</v>
      </c>
      <c r="J61" s="47">
        <f>J59/J60</f>
        <v>4.073333333333333</v>
      </c>
      <c r="K61" s="47">
        <v>3.85</v>
      </c>
      <c r="L61" s="47"/>
      <c r="M61" s="47">
        <f>3.51*1.11*1.12</f>
        <v>4.363632000000001</v>
      </c>
      <c r="N61" s="46">
        <f t="shared" si="7"/>
        <v>1.0712680851063832</v>
      </c>
      <c r="O61" s="47"/>
      <c r="P61" s="45">
        <f t="shared" si="1"/>
        <v>0</v>
      </c>
    </row>
    <row r="62" spans="1:16" ht="18.75" hidden="1">
      <c r="A62" s="26" t="s">
        <v>86</v>
      </c>
      <c r="B62" s="20" t="s">
        <v>158</v>
      </c>
      <c r="C62" s="11" t="s">
        <v>178</v>
      </c>
      <c r="D62" s="47"/>
      <c r="E62" s="47"/>
      <c r="F62" s="45"/>
      <c r="G62" s="47"/>
      <c r="H62" s="47"/>
      <c r="I62" s="45"/>
      <c r="J62" s="47"/>
      <c r="K62" s="47"/>
      <c r="L62" s="47"/>
      <c r="M62" s="47"/>
      <c r="N62" s="46"/>
      <c r="O62" s="47"/>
      <c r="P62" s="45"/>
    </row>
    <row r="63" spans="1:16" ht="18.75" hidden="1">
      <c r="A63" s="26" t="s">
        <v>87</v>
      </c>
      <c r="B63" s="20" t="s">
        <v>256</v>
      </c>
      <c r="C63" s="11" t="s">
        <v>178</v>
      </c>
      <c r="D63" s="47">
        <f>1303.9+92.6</f>
        <v>1396.5</v>
      </c>
      <c r="E63" s="47">
        <f>1946.17+132.5</f>
        <v>2078.67</v>
      </c>
      <c r="F63" s="45">
        <f aca="true" t="shared" si="8" ref="F63:F68">E63-D63</f>
        <v>682.1700000000001</v>
      </c>
      <c r="G63" s="47">
        <f>165.65+92.6</f>
        <v>258.25</v>
      </c>
      <c r="H63" s="47">
        <f>2301+130.64-532-402-160</f>
        <v>1337.6399999999999</v>
      </c>
      <c r="I63" s="45">
        <f aca="true" t="shared" si="9" ref="I63:I68">H63-G63</f>
        <v>1079.3899999999999</v>
      </c>
      <c r="J63" s="47">
        <f>1212.87+98.06</f>
        <v>1310.9299999999998</v>
      </c>
      <c r="K63" s="47">
        <f>505.66+25.2</f>
        <v>530.86</v>
      </c>
      <c r="L63" s="47"/>
      <c r="M63" s="47">
        <f>J63*1.054</f>
        <v>1381.72022</v>
      </c>
      <c r="N63" s="46">
        <f t="shared" si="7"/>
        <v>1.054</v>
      </c>
      <c r="O63" s="47"/>
      <c r="P63" s="45">
        <f t="shared" si="1"/>
        <v>0</v>
      </c>
    </row>
    <row r="64" spans="1:16" ht="31.5" hidden="1">
      <c r="A64" s="25" t="s">
        <v>88</v>
      </c>
      <c r="B64" s="19" t="s">
        <v>160</v>
      </c>
      <c r="C64" s="11" t="s">
        <v>178</v>
      </c>
      <c r="D64" s="44">
        <f>3116+2622.9</f>
        <v>5738.9</v>
      </c>
      <c r="E64" s="44">
        <f>3100+449.51</f>
        <v>3549.51</v>
      </c>
      <c r="F64" s="45">
        <f t="shared" si="8"/>
        <v>-2189.3899999999994</v>
      </c>
      <c r="G64" s="44">
        <f>3177.3+3557.97</f>
        <v>6735.27</v>
      </c>
      <c r="H64" s="44">
        <f>H65+H66+H69+H70+H73+H76+H77</f>
        <v>2627.99</v>
      </c>
      <c r="I64" s="45">
        <f t="shared" si="9"/>
        <v>-4107.280000000001</v>
      </c>
      <c r="J64" s="44">
        <v>7117.98</v>
      </c>
      <c r="K64" s="44">
        <f>K65+K66+K69+K70+K73+K76+K77</f>
        <v>426.941062</v>
      </c>
      <c r="L64" s="44"/>
      <c r="M64" s="44">
        <f>M65+M66+M69+M70+M73+M76+M77</f>
        <v>7417.339559999999</v>
      </c>
      <c r="N64" s="46">
        <f>M64/J64</f>
        <v>1.042056813871351</v>
      </c>
      <c r="O64" s="44"/>
      <c r="P64" s="45">
        <f t="shared" si="1"/>
        <v>0</v>
      </c>
    </row>
    <row r="65" spans="1:16" ht="18.75" hidden="1">
      <c r="A65" s="26" t="s">
        <v>89</v>
      </c>
      <c r="B65" s="20" t="s">
        <v>161</v>
      </c>
      <c r="C65" s="11" t="s">
        <v>178</v>
      </c>
      <c r="D65" s="47">
        <f>2321.9+562.2</f>
        <v>2884.1000000000004</v>
      </c>
      <c r="E65" s="47">
        <f>2313.53+340.85</f>
        <v>2654.38</v>
      </c>
      <c r="F65" s="45">
        <f t="shared" si="8"/>
        <v>-229.72000000000025</v>
      </c>
      <c r="G65" s="47">
        <f>2440.3+598.42</f>
        <v>3038.7200000000003</v>
      </c>
      <c r="H65" s="47">
        <v>2038.47</v>
      </c>
      <c r="I65" s="45">
        <f t="shared" si="9"/>
        <v>-1000.2500000000002</v>
      </c>
      <c r="J65" s="47">
        <f>2584.28+633.72</f>
        <v>3218</v>
      </c>
      <c r="K65" s="47">
        <v>329.99</v>
      </c>
      <c r="L65" s="47"/>
      <c r="M65" s="54">
        <f>2100.5+1302.28</f>
        <v>3402.7799999999997</v>
      </c>
      <c r="N65" s="46">
        <f>M65/J65</f>
        <v>1.0574207582349284</v>
      </c>
      <c r="O65" s="47"/>
      <c r="P65" s="45">
        <f t="shared" si="1"/>
        <v>0</v>
      </c>
    </row>
    <row r="66" spans="1:16" ht="18.75" hidden="1">
      <c r="A66" s="26" t="s">
        <v>90</v>
      </c>
      <c r="B66" s="20" t="s">
        <v>219</v>
      </c>
      <c r="C66" s="11" t="s">
        <v>178</v>
      </c>
      <c r="D66" s="47">
        <f>794.09+208.9</f>
        <v>1002.99</v>
      </c>
      <c r="E66" s="47">
        <f>786.51+108.66</f>
        <v>895.17</v>
      </c>
      <c r="F66" s="45">
        <f t="shared" si="8"/>
        <v>-107.82000000000005</v>
      </c>
      <c r="G66" s="47">
        <f>737+194.58</f>
        <v>931.58</v>
      </c>
      <c r="H66" s="47">
        <v>589.52</v>
      </c>
      <c r="I66" s="45">
        <f t="shared" si="9"/>
        <v>-342.06000000000006</v>
      </c>
      <c r="J66" s="47">
        <v>971.84</v>
      </c>
      <c r="K66" s="47">
        <f>K65*0.2938</f>
        <v>96.95106200000001</v>
      </c>
      <c r="L66" s="47"/>
      <c r="M66" s="54">
        <f>M65*30.2/100</f>
        <v>1027.6395599999998</v>
      </c>
      <c r="N66" s="46">
        <f>M66/J66</f>
        <v>1.0574164059927558</v>
      </c>
      <c r="O66" s="47"/>
      <c r="P66" s="45">
        <f t="shared" si="1"/>
        <v>0</v>
      </c>
    </row>
    <row r="67" spans="1:16" ht="18.75" hidden="1">
      <c r="A67" s="26" t="s">
        <v>91</v>
      </c>
      <c r="B67" s="20" t="s">
        <v>137</v>
      </c>
      <c r="C67" s="11" t="s">
        <v>22</v>
      </c>
      <c r="D67" s="47">
        <v>12</v>
      </c>
      <c r="E67" s="47">
        <v>12</v>
      </c>
      <c r="F67" s="45">
        <f t="shared" si="8"/>
        <v>0</v>
      </c>
      <c r="G67" s="47">
        <v>12</v>
      </c>
      <c r="H67" s="47">
        <v>12</v>
      </c>
      <c r="I67" s="45">
        <f t="shared" si="9"/>
        <v>0</v>
      </c>
      <c r="J67" s="47">
        <v>12</v>
      </c>
      <c r="K67" s="47">
        <v>12</v>
      </c>
      <c r="L67" s="47"/>
      <c r="M67" s="54">
        <v>12</v>
      </c>
      <c r="N67" s="46"/>
      <c r="O67" s="47"/>
      <c r="P67" s="45">
        <f t="shared" si="1"/>
        <v>0</v>
      </c>
    </row>
    <row r="68" spans="1:16" ht="18.75" hidden="1">
      <c r="A68" s="26" t="s">
        <v>92</v>
      </c>
      <c r="B68" s="20" t="s">
        <v>133</v>
      </c>
      <c r="C68" s="11" t="s">
        <v>23</v>
      </c>
      <c r="D68" s="46">
        <v>20.03</v>
      </c>
      <c r="E68" s="46">
        <v>18.433</v>
      </c>
      <c r="F68" s="45">
        <f t="shared" si="8"/>
        <v>-1.5970000000000013</v>
      </c>
      <c r="G68" s="46">
        <v>21.102</v>
      </c>
      <c r="H68" s="46">
        <f>H65/H67/12</f>
        <v>14.156041666666667</v>
      </c>
      <c r="I68" s="45">
        <f t="shared" si="9"/>
        <v>-6.9459583333333335</v>
      </c>
      <c r="J68" s="46">
        <v>22.347</v>
      </c>
      <c r="K68" s="46">
        <f>K65/K67/3</f>
        <v>9.16638888888889</v>
      </c>
      <c r="L68" s="45"/>
      <c r="M68" s="55">
        <f>M65/M67/12</f>
        <v>23.630416666666665</v>
      </c>
      <c r="N68" s="46"/>
      <c r="O68" s="46"/>
      <c r="P68" s="45">
        <f t="shared" si="1"/>
        <v>0</v>
      </c>
    </row>
    <row r="69" spans="1:16" ht="19.5" hidden="1">
      <c r="A69" s="26" t="s">
        <v>93</v>
      </c>
      <c r="B69" s="20" t="s">
        <v>162</v>
      </c>
      <c r="C69" s="11" t="s">
        <v>178</v>
      </c>
      <c r="D69" s="47"/>
      <c r="E69" s="47"/>
      <c r="F69" s="45"/>
      <c r="G69" s="47"/>
      <c r="H69" s="42"/>
      <c r="I69" s="42"/>
      <c r="J69" s="42"/>
      <c r="K69" s="42"/>
      <c r="L69" s="47"/>
      <c r="M69" s="54"/>
      <c r="N69" s="46"/>
      <c r="O69" s="47"/>
      <c r="P69" s="45"/>
    </row>
    <row r="70" spans="1:16" ht="18.75" hidden="1">
      <c r="A70" s="26" t="s">
        <v>94</v>
      </c>
      <c r="B70" s="20" t="s">
        <v>219</v>
      </c>
      <c r="C70" s="11" t="s">
        <v>178</v>
      </c>
      <c r="D70" s="47"/>
      <c r="E70" s="47"/>
      <c r="F70" s="45"/>
      <c r="G70" s="47"/>
      <c r="H70" s="47"/>
      <c r="I70" s="45"/>
      <c r="J70" s="47"/>
      <c r="K70" s="47"/>
      <c r="L70" s="47"/>
      <c r="M70" s="54"/>
      <c r="N70" s="46"/>
      <c r="O70" s="47"/>
      <c r="P70" s="45"/>
    </row>
    <row r="71" spans="1:16" ht="18.75" hidden="1">
      <c r="A71" s="26" t="s">
        <v>95</v>
      </c>
      <c r="B71" s="20" t="s">
        <v>137</v>
      </c>
      <c r="C71" s="11" t="s">
        <v>22</v>
      </c>
      <c r="D71" s="47"/>
      <c r="E71" s="47"/>
      <c r="F71" s="45"/>
      <c r="G71" s="47"/>
      <c r="H71" s="47"/>
      <c r="I71" s="45"/>
      <c r="J71" s="47"/>
      <c r="K71" s="47"/>
      <c r="L71" s="47"/>
      <c r="M71" s="54"/>
      <c r="N71" s="46"/>
      <c r="O71" s="47"/>
      <c r="P71" s="45"/>
    </row>
    <row r="72" spans="1:16" ht="18.75" hidden="1">
      <c r="A72" s="26" t="s">
        <v>96</v>
      </c>
      <c r="B72" s="20" t="s">
        <v>133</v>
      </c>
      <c r="C72" s="11" t="s">
        <v>23</v>
      </c>
      <c r="D72" s="45"/>
      <c r="E72" s="45"/>
      <c r="F72" s="45"/>
      <c r="G72" s="45"/>
      <c r="H72" s="45"/>
      <c r="I72" s="45"/>
      <c r="J72" s="45"/>
      <c r="K72" s="45"/>
      <c r="L72" s="45"/>
      <c r="M72" s="56"/>
      <c r="N72" s="46"/>
      <c r="O72" s="45"/>
      <c r="P72" s="45"/>
    </row>
    <row r="73" spans="1:16" ht="18.75" hidden="1">
      <c r="A73" s="26" t="s">
        <v>97</v>
      </c>
      <c r="B73" s="20" t="s">
        <v>179</v>
      </c>
      <c r="C73" s="11" t="s">
        <v>178</v>
      </c>
      <c r="D73" s="47"/>
      <c r="E73" s="47"/>
      <c r="F73" s="45"/>
      <c r="G73" s="47"/>
      <c r="H73" s="47"/>
      <c r="I73" s="45"/>
      <c r="J73" s="47"/>
      <c r="K73" s="47"/>
      <c r="L73" s="47"/>
      <c r="M73" s="54"/>
      <c r="N73" s="46"/>
      <c r="O73" s="47"/>
      <c r="P73" s="45"/>
    </row>
    <row r="74" spans="1:16" ht="18.75" hidden="1">
      <c r="A74" s="26" t="s">
        <v>98</v>
      </c>
      <c r="B74" s="20" t="s">
        <v>122</v>
      </c>
      <c r="C74" s="11" t="s">
        <v>123</v>
      </c>
      <c r="D74" s="47"/>
      <c r="E74" s="47"/>
      <c r="F74" s="45"/>
      <c r="G74" s="47"/>
      <c r="H74" s="47"/>
      <c r="I74" s="45"/>
      <c r="J74" s="47"/>
      <c r="K74" s="47"/>
      <c r="L74" s="47"/>
      <c r="M74" s="54"/>
      <c r="N74" s="46"/>
      <c r="O74" s="47"/>
      <c r="P74" s="45"/>
    </row>
    <row r="75" spans="1:16" ht="19.5" hidden="1">
      <c r="A75" s="26" t="s">
        <v>99</v>
      </c>
      <c r="B75" s="20" t="s">
        <v>157</v>
      </c>
      <c r="C75" s="9" t="s">
        <v>23</v>
      </c>
      <c r="D75" s="42"/>
      <c r="E75" s="42"/>
      <c r="F75" s="42"/>
      <c r="G75" s="42"/>
      <c r="H75" s="42"/>
      <c r="I75" s="42"/>
      <c r="J75" s="42"/>
      <c r="K75" s="42"/>
      <c r="L75" s="42"/>
      <c r="M75" s="57"/>
      <c r="N75" s="46"/>
      <c r="O75" s="42"/>
      <c r="P75" s="45"/>
    </row>
    <row r="76" spans="1:16" ht="19.5" hidden="1">
      <c r="A76" s="26" t="s">
        <v>100</v>
      </c>
      <c r="B76" s="20" t="s">
        <v>158</v>
      </c>
      <c r="C76" s="11" t="s">
        <v>178</v>
      </c>
      <c r="D76" s="42"/>
      <c r="E76" s="42"/>
      <c r="F76" s="42"/>
      <c r="G76" s="42"/>
      <c r="H76" s="42"/>
      <c r="I76" s="42"/>
      <c r="J76" s="42"/>
      <c r="K76" s="42"/>
      <c r="L76" s="42"/>
      <c r="M76" s="54">
        <v>665.54</v>
      </c>
      <c r="N76" s="46"/>
      <c r="O76" s="42"/>
      <c r="P76" s="45"/>
    </row>
    <row r="77" spans="1:16" ht="18.75" hidden="1">
      <c r="A77" s="26" t="s">
        <v>101</v>
      </c>
      <c r="B77" s="20" t="s">
        <v>159</v>
      </c>
      <c r="C77" s="11" t="s">
        <v>178</v>
      </c>
      <c r="D77" s="47">
        <v>1851.8</v>
      </c>
      <c r="E77" s="53"/>
      <c r="F77" s="45">
        <f>E77-D77</f>
        <v>-1851.8</v>
      </c>
      <c r="G77" s="47">
        <v>2765</v>
      </c>
      <c r="H77" s="53"/>
      <c r="I77" s="45">
        <f>H77-G77</f>
        <v>-2765</v>
      </c>
      <c r="J77" s="53">
        <v>2928.14</v>
      </c>
      <c r="K77" s="47"/>
      <c r="L77" s="47"/>
      <c r="M77" s="58">
        <v>2321.38</v>
      </c>
      <c r="N77" s="46">
        <f>M77/J77</f>
        <v>0.7927831319540734</v>
      </c>
      <c r="O77" s="53"/>
      <c r="P77" s="45">
        <f>O77/J77</f>
        <v>0</v>
      </c>
    </row>
    <row r="78" spans="1:16" ht="23.25" customHeight="1" hidden="1">
      <c r="A78" s="25" t="s">
        <v>102</v>
      </c>
      <c r="B78" s="19" t="s">
        <v>103</v>
      </c>
      <c r="C78" s="11" t="s">
        <v>178</v>
      </c>
      <c r="D78" s="44" t="e">
        <f>#REF!-#REF!+#REF!+#REF!-#REF!</f>
        <v>#REF!</v>
      </c>
      <c r="E78" s="44">
        <f>E8+E9+E13+E14+E15+E19+E20+E21+E25+E27+E34+E41+E44+E48+E54+E64</f>
        <v>44559.90958</v>
      </c>
      <c r="F78" s="45" t="e">
        <f>E78-D78</f>
        <v>#REF!</v>
      </c>
      <c r="G78" s="44">
        <f>G8+G9+G13+G14+G15+G19+G20+G21+G25+G27+G34+G41+G44+G48+G54+G64</f>
        <v>48569.57000000001</v>
      </c>
      <c r="H78" s="44" t="e">
        <f>H8+H9+H13+H14+H15+H19+H20+H21+H25+H27+H34+H41+H44+H48+H54+H64</f>
        <v>#REF!</v>
      </c>
      <c r="I78" s="45" t="e">
        <f>H78-G78</f>
        <v>#REF!</v>
      </c>
      <c r="J78" s="44">
        <v>53727.24</v>
      </c>
      <c r="K78" s="44" t="e">
        <f>K8+K9+K13+K14+K15+K19+K20+K21+K25+K27+K34+K41+K44+K48+K54+K64</f>
        <v>#REF!</v>
      </c>
      <c r="L78" s="47"/>
      <c r="M78" s="44" t="e">
        <f>M8+M9+M13+M14+M15+M19+M20+M21+M25+M27+M34+M41+M44+M48+M54+M64</f>
        <v>#REF!</v>
      </c>
      <c r="N78" s="46" t="e">
        <f>M78/J78</f>
        <v>#REF!</v>
      </c>
      <c r="O78" s="44"/>
      <c r="P78" s="45">
        <f>O78/J78</f>
        <v>0</v>
      </c>
    </row>
    <row r="79" spans="1:16" ht="18.75" hidden="1">
      <c r="A79" s="25"/>
      <c r="B79" s="19" t="s">
        <v>251</v>
      </c>
      <c r="C79" s="11" t="s">
        <v>178</v>
      </c>
      <c r="D79" s="44" t="e">
        <f>D78-D80</f>
        <v>#REF!</v>
      </c>
      <c r="E79" s="44">
        <f>E78-E80</f>
        <v>44465.21958</v>
      </c>
      <c r="F79" s="45" t="e">
        <f>E79-D79</f>
        <v>#REF!</v>
      </c>
      <c r="G79" s="44">
        <f>G78-G80</f>
        <v>47856.240000000005</v>
      </c>
      <c r="H79" s="44" t="e">
        <f>H78-H80</f>
        <v>#REF!</v>
      </c>
      <c r="I79" s="45" t="e">
        <f>H79-G79</f>
        <v>#REF!</v>
      </c>
      <c r="J79" s="44">
        <f>J103-J87</f>
        <v>53563.729999999996</v>
      </c>
      <c r="K79" s="44" t="e">
        <f>K78-K80</f>
        <v>#REF!</v>
      </c>
      <c r="L79" s="47"/>
      <c r="M79" s="44" t="e">
        <f>M78-M80</f>
        <v>#REF!</v>
      </c>
      <c r="N79" s="46" t="e">
        <f>M79/J79</f>
        <v>#REF!</v>
      </c>
      <c r="O79" s="44"/>
      <c r="P79" s="45">
        <f>O79/J79</f>
        <v>0</v>
      </c>
    </row>
    <row r="80" spans="1:16" ht="18.75" hidden="1">
      <c r="A80" s="25"/>
      <c r="B80" s="19" t="s">
        <v>252</v>
      </c>
      <c r="C80" s="11" t="s">
        <v>178</v>
      </c>
      <c r="D80" s="44">
        <v>682.05</v>
      </c>
      <c r="E80" s="44">
        <v>94.69</v>
      </c>
      <c r="F80" s="45">
        <f>E80-D80</f>
        <v>-587.3599999999999</v>
      </c>
      <c r="G80" s="44">
        <v>713.33</v>
      </c>
      <c r="H80" s="44" t="e">
        <f>#REF!</f>
        <v>#REF!</v>
      </c>
      <c r="I80" s="45" t="e">
        <f>H80-G80</f>
        <v>#REF!</v>
      </c>
      <c r="J80" s="44">
        <f>J104-J89</f>
        <v>163.51</v>
      </c>
      <c r="K80" s="44" t="e">
        <f>#REF!</f>
        <v>#REF!</v>
      </c>
      <c r="L80" s="47"/>
      <c r="M80" s="44" t="e">
        <f>#REF!</f>
        <v>#REF!</v>
      </c>
      <c r="N80" s="46" t="e">
        <f>M80/J80</f>
        <v>#REF!</v>
      </c>
      <c r="O80" s="44"/>
      <c r="P80" s="45">
        <f>O80/J80</f>
        <v>0</v>
      </c>
    </row>
    <row r="81" spans="1:16" ht="32.25" customHeight="1" hidden="1">
      <c r="A81" s="25" t="s">
        <v>104</v>
      </c>
      <c r="B81" s="19" t="s">
        <v>163</v>
      </c>
      <c r="C81" s="11" t="s">
        <v>178</v>
      </c>
      <c r="D81" s="44">
        <v>0</v>
      </c>
      <c r="E81" s="44">
        <v>2015</v>
      </c>
      <c r="F81" s="45">
        <f>E81-D81</f>
        <v>2015</v>
      </c>
      <c r="G81" s="44">
        <v>2268.1</v>
      </c>
      <c r="H81" s="44">
        <f>H82+H83+H84+H85</f>
        <v>934</v>
      </c>
      <c r="I81" s="45">
        <f>H81-G81</f>
        <v>-1334.1</v>
      </c>
      <c r="J81" s="44">
        <v>0</v>
      </c>
      <c r="K81" s="44">
        <f>K82+K83+K84+K85</f>
        <v>0</v>
      </c>
      <c r="L81" s="44"/>
      <c r="M81" s="44"/>
      <c r="N81" s="46" t="e">
        <f>M81/J81</f>
        <v>#DIV/0!</v>
      </c>
      <c r="O81" s="44"/>
      <c r="P81" s="45" t="e">
        <f>O81/J81</f>
        <v>#DIV/0!</v>
      </c>
    </row>
    <row r="82" spans="1:16" ht="18.75" hidden="1">
      <c r="A82" s="26" t="s">
        <v>105</v>
      </c>
      <c r="B82" s="20" t="s">
        <v>164</v>
      </c>
      <c r="C82" s="11" t="s">
        <v>178</v>
      </c>
      <c r="D82" s="47"/>
      <c r="E82" s="47"/>
      <c r="F82" s="45"/>
      <c r="G82" s="47"/>
      <c r="H82" s="47"/>
      <c r="I82" s="45"/>
      <c r="J82" s="47"/>
      <c r="K82" s="47"/>
      <c r="L82" s="47"/>
      <c r="M82" s="47"/>
      <c r="N82" s="46"/>
      <c r="O82" s="47"/>
      <c r="P82" s="45"/>
    </row>
    <row r="83" spans="1:16" ht="18.75" hidden="1">
      <c r="A83" s="26" t="s">
        <v>106</v>
      </c>
      <c r="B83" s="20" t="s">
        <v>165</v>
      </c>
      <c r="C83" s="11" t="s">
        <v>178</v>
      </c>
      <c r="D83" s="47"/>
      <c r="E83" s="47"/>
      <c r="F83" s="45"/>
      <c r="G83" s="47">
        <v>2268.1</v>
      </c>
      <c r="H83" s="47">
        <v>402</v>
      </c>
      <c r="I83" s="45"/>
      <c r="J83" s="47"/>
      <c r="K83" s="47"/>
      <c r="L83" s="47"/>
      <c r="M83" s="47"/>
      <c r="N83" s="46" t="e">
        <f>M83/J83</f>
        <v>#DIV/0!</v>
      </c>
      <c r="O83" s="47"/>
      <c r="P83" s="45" t="e">
        <f>O83/J83</f>
        <v>#DIV/0!</v>
      </c>
    </row>
    <row r="84" spans="1:16" ht="18.75" hidden="1">
      <c r="A84" s="26" t="s">
        <v>107</v>
      </c>
      <c r="B84" s="20" t="s">
        <v>166</v>
      </c>
      <c r="C84" s="11" t="s">
        <v>178</v>
      </c>
      <c r="D84" s="47">
        <v>0</v>
      </c>
      <c r="E84" s="47">
        <v>2015</v>
      </c>
      <c r="F84" s="45">
        <f>E84-D84</f>
        <v>2015</v>
      </c>
      <c r="G84" s="47"/>
      <c r="H84" s="47">
        <f>2231-1699</f>
        <v>532</v>
      </c>
      <c r="I84" s="45">
        <f>H84-G84</f>
        <v>532</v>
      </c>
      <c r="J84" s="47">
        <v>0</v>
      </c>
      <c r="K84" s="47"/>
      <c r="L84" s="47"/>
      <c r="M84" s="47"/>
      <c r="N84" s="46"/>
      <c r="O84" s="47"/>
      <c r="P84" s="45"/>
    </row>
    <row r="85" spans="1:16" ht="18.75" hidden="1">
      <c r="A85" s="26" t="s">
        <v>108</v>
      </c>
      <c r="B85" s="20" t="s">
        <v>167</v>
      </c>
      <c r="C85" s="11" t="s">
        <v>178</v>
      </c>
      <c r="D85" s="47"/>
      <c r="E85" s="47"/>
      <c r="F85" s="45"/>
      <c r="G85" s="47"/>
      <c r="H85" s="47"/>
      <c r="I85" s="45"/>
      <c r="J85" s="47"/>
      <c r="K85" s="47"/>
      <c r="L85" s="47"/>
      <c r="M85" s="47"/>
      <c r="N85" s="46"/>
      <c r="O85" s="47"/>
      <c r="P85" s="45"/>
    </row>
    <row r="86" spans="1:16" ht="2.25" customHeight="1" hidden="1">
      <c r="A86" s="25" t="s">
        <v>109</v>
      </c>
      <c r="B86" s="19" t="s">
        <v>110</v>
      </c>
      <c r="C86" s="11" t="s">
        <v>178</v>
      </c>
      <c r="D86" s="44">
        <v>0</v>
      </c>
      <c r="E86" s="44"/>
      <c r="F86" s="45">
        <f>E86-D86</f>
        <v>0</v>
      </c>
      <c r="G86" s="44"/>
      <c r="H86" s="44"/>
      <c r="I86" s="45">
        <f>H86-G86</f>
        <v>0</v>
      </c>
      <c r="J86" s="44"/>
      <c r="K86" s="44"/>
      <c r="L86" s="44"/>
      <c r="M86" s="44"/>
      <c r="N86" s="46"/>
      <c r="O86" s="44"/>
      <c r="P86" s="45"/>
    </row>
    <row r="87" spans="1:16" ht="18.75" hidden="1">
      <c r="A87" s="25" t="s">
        <v>111</v>
      </c>
      <c r="B87" s="19" t="s">
        <v>168</v>
      </c>
      <c r="C87" s="11" t="s">
        <v>178</v>
      </c>
      <c r="D87" s="44">
        <f>D88+D89</f>
        <v>1671.6499999999999</v>
      </c>
      <c r="E87" s="44">
        <f>E88+E89</f>
        <v>0</v>
      </c>
      <c r="F87" s="45">
        <f>E87-D87</f>
        <v>-1671.6499999999999</v>
      </c>
      <c r="G87" s="44">
        <f>G88+G89</f>
        <v>264.3</v>
      </c>
      <c r="H87" s="44">
        <v>0</v>
      </c>
      <c r="I87" s="45">
        <f>H87-G87</f>
        <v>-264.3</v>
      </c>
      <c r="J87" s="44">
        <v>302.55</v>
      </c>
      <c r="K87" s="44"/>
      <c r="L87" s="48"/>
      <c r="M87" s="44">
        <f>M88+M89</f>
        <v>0</v>
      </c>
      <c r="N87" s="46">
        <f>M87/J87</f>
        <v>0</v>
      </c>
      <c r="O87" s="44"/>
      <c r="P87" s="45">
        <f>O87/J87</f>
        <v>0</v>
      </c>
    </row>
    <row r="88" spans="1:16" ht="18.75" hidden="1">
      <c r="A88" s="25"/>
      <c r="B88" s="19" t="s">
        <v>251</v>
      </c>
      <c r="C88" s="11" t="s">
        <v>178</v>
      </c>
      <c r="D88" s="44">
        <f>1389.6+264.3</f>
        <v>1653.8999999999999</v>
      </c>
      <c r="E88" s="44">
        <v>0</v>
      </c>
      <c r="F88" s="45">
        <f>E88-D88</f>
        <v>-1653.8999999999999</v>
      </c>
      <c r="G88" s="44">
        <v>264.3</v>
      </c>
      <c r="H88" s="44">
        <v>0</v>
      </c>
      <c r="I88" s="45">
        <f>H88-G88</f>
        <v>-264.3</v>
      </c>
      <c r="J88" s="44">
        <v>302.55</v>
      </c>
      <c r="K88" s="44"/>
      <c r="L88" s="44"/>
      <c r="M88" s="44"/>
      <c r="N88" s="46">
        <f>M88/J88</f>
        <v>0</v>
      </c>
      <c r="O88" s="44"/>
      <c r="P88" s="45">
        <f>O88/J88</f>
        <v>0</v>
      </c>
    </row>
    <row r="89" spans="1:16" ht="18.75" hidden="1">
      <c r="A89" s="25"/>
      <c r="B89" s="19" t="s">
        <v>252</v>
      </c>
      <c r="C89" s="11" t="s">
        <v>178</v>
      </c>
      <c r="D89" s="44">
        <v>17.75</v>
      </c>
      <c r="E89" s="44">
        <v>0</v>
      </c>
      <c r="F89" s="45">
        <f>E89-D89</f>
        <v>-17.75</v>
      </c>
      <c r="G89" s="44">
        <v>0</v>
      </c>
      <c r="H89" s="44">
        <v>0</v>
      </c>
      <c r="I89" s="45">
        <f>H89-G89</f>
        <v>0</v>
      </c>
      <c r="J89" s="44"/>
      <c r="K89" s="44"/>
      <c r="L89" s="44"/>
      <c r="M89" s="44"/>
      <c r="N89" s="46"/>
      <c r="O89" s="44"/>
      <c r="P89" s="45"/>
    </row>
    <row r="90" spans="1:16" ht="18.75" hidden="1">
      <c r="A90" s="26" t="s">
        <v>112</v>
      </c>
      <c r="B90" s="20" t="s">
        <v>169</v>
      </c>
      <c r="C90" s="11" t="s">
        <v>178</v>
      </c>
      <c r="D90" s="47"/>
      <c r="E90" s="47"/>
      <c r="F90" s="45"/>
      <c r="G90" s="47"/>
      <c r="H90" s="47"/>
      <c r="I90" s="45"/>
      <c r="J90" s="47"/>
      <c r="K90" s="47"/>
      <c r="L90" s="47"/>
      <c r="M90" s="47"/>
      <c r="N90" s="46"/>
      <c r="O90" s="47"/>
      <c r="P90" s="45"/>
    </row>
    <row r="91" spans="1:16" s="17" customFormat="1" ht="25.5" customHeight="1" hidden="1">
      <c r="A91" s="26" t="s">
        <v>3</v>
      </c>
      <c r="B91" s="20" t="s">
        <v>170</v>
      </c>
      <c r="C91" s="11" t="s">
        <v>178</v>
      </c>
      <c r="D91" s="47"/>
      <c r="E91" s="47"/>
      <c r="F91" s="45"/>
      <c r="G91" s="47"/>
      <c r="H91" s="47"/>
      <c r="I91" s="45"/>
      <c r="J91" s="47"/>
      <c r="K91" s="47"/>
      <c r="L91" s="47"/>
      <c r="M91" s="47"/>
      <c r="N91" s="46"/>
      <c r="O91" s="47"/>
      <c r="P91" s="45"/>
    </row>
    <row r="92" spans="1:16" s="17" customFormat="1" ht="18.75" hidden="1">
      <c r="A92" s="26" t="s">
        <v>113</v>
      </c>
      <c r="B92" s="20" t="s">
        <v>171</v>
      </c>
      <c r="C92" s="11" t="s">
        <v>178</v>
      </c>
      <c r="D92" s="47"/>
      <c r="E92" s="47"/>
      <c r="F92" s="45"/>
      <c r="G92" s="47"/>
      <c r="H92" s="47"/>
      <c r="I92" s="45"/>
      <c r="J92" s="47"/>
      <c r="K92" s="47"/>
      <c r="L92" s="47"/>
      <c r="M92" s="47"/>
      <c r="N92" s="46"/>
      <c r="O92" s="47"/>
      <c r="P92" s="45"/>
    </row>
    <row r="93" spans="1:16" s="17" customFormat="1" ht="18.75" hidden="1">
      <c r="A93" s="26" t="s">
        <v>114</v>
      </c>
      <c r="B93" s="20" t="s">
        <v>172</v>
      </c>
      <c r="C93" s="11" t="s">
        <v>178</v>
      </c>
      <c r="D93" s="47"/>
      <c r="E93" s="47"/>
      <c r="F93" s="45"/>
      <c r="G93" s="47"/>
      <c r="H93" s="47"/>
      <c r="I93" s="45"/>
      <c r="J93" s="47"/>
      <c r="K93" s="47"/>
      <c r="L93" s="47"/>
      <c r="M93" s="47"/>
      <c r="N93" s="46"/>
      <c r="O93" s="47"/>
      <c r="P93" s="45"/>
    </row>
    <row r="94" spans="1:16" s="17" customFormat="1" ht="18.75" hidden="1">
      <c r="A94" s="26" t="s">
        <v>115</v>
      </c>
      <c r="B94" s="20" t="s">
        <v>0</v>
      </c>
      <c r="C94" s="11" t="s">
        <v>178</v>
      </c>
      <c r="D94" s="47"/>
      <c r="E94" s="47"/>
      <c r="F94" s="45"/>
      <c r="G94" s="47"/>
      <c r="H94" s="47"/>
      <c r="I94" s="45"/>
      <c r="J94" s="47"/>
      <c r="K94" s="47"/>
      <c r="L94" s="47"/>
      <c r="M94" s="47"/>
      <c r="N94" s="46"/>
      <c r="O94" s="47"/>
      <c r="P94" s="45"/>
    </row>
    <row r="95" spans="1:16" ht="3" customHeight="1" hidden="1">
      <c r="A95" s="26" t="s">
        <v>116</v>
      </c>
      <c r="B95" s="20" t="s">
        <v>173</v>
      </c>
      <c r="C95" s="11" t="s">
        <v>178</v>
      </c>
      <c r="D95" s="47"/>
      <c r="E95" s="47"/>
      <c r="F95" s="45"/>
      <c r="G95" s="47"/>
      <c r="H95" s="47"/>
      <c r="I95" s="45"/>
      <c r="J95" s="47"/>
      <c r="K95" s="47"/>
      <c r="L95" s="47"/>
      <c r="M95" s="47"/>
      <c r="N95" s="46"/>
      <c r="O95" s="47"/>
      <c r="P95" s="45"/>
    </row>
    <row r="96" spans="1:16" ht="18.75" hidden="1">
      <c r="A96" s="26" t="s">
        <v>117</v>
      </c>
      <c r="B96" s="20" t="s">
        <v>174</v>
      </c>
      <c r="C96" s="11" t="s">
        <v>178</v>
      </c>
      <c r="D96" s="47"/>
      <c r="E96" s="47"/>
      <c r="F96" s="45"/>
      <c r="G96" s="47"/>
      <c r="H96" s="47"/>
      <c r="I96" s="45"/>
      <c r="J96" s="47">
        <v>77.15</v>
      </c>
      <c r="K96" s="47"/>
      <c r="L96" s="47"/>
      <c r="M96" s="47"/>
      <c r="N96" s="46"/>
      <c r="O96" s="47"/>
      <c r="P96" s="45"/>
    </row>
    <row r="97" spans="1:16" ht="39.75" customHeight="1" hidden="1">
      <c r="A97" s="26" t="s">
        <v>1</v>
      </c>
      <c r="B97" s="20" t="s">
        <v>175</v>
      </c>
      <c r="C97" s="11" t="s">
        <v>178</v>
      </c>
      <c r="D97" s="47"/>
      <c r="E97" s="47"/>
      <c r="F97" s="45"/>
      <c r="G97" s="47"/>
      <c r="H97" s="47"/>
      <c r="I97" s="45"/>
      <c r="J97" s="47"/>
      <c r="K97" s="47"/>
      <c r="L97" s="47"/>
      <c r="M97" s="47"/>
      <c r="N97" s="46"/>
      <c r="O97" s="47"/>
      <c r="P97" s="45"/>
    </row>
    <row r="98" spans="1:16" ht="36" customHeight="1" hidden="1">
      <c r="A98" s="26" t="s">
        <v>2</v>
      </c>
      <c r="B98" s="20" t="s">
        <v>159</v>
      </c>
      <c r="C98" s="11" t="s">
        <v>178</v>
      </c>
      <c r="D98" s="47"/>
      <c r="E98" s="47"/>
      <c r="F98" s="45"/>
      <c r="G98" s="47"/>
      <c r="H98" s="47"/>
      <c r="I98" s="45"/>
      <c r="J98" s="47"/>
      <c r="K98" s="47"/>
      <c r="L98" s="47"/>
      <c r="M98" s="47"/>
      <c r="N98" s="46"/>
      <c r="O98" s="47"/>
      <c r="P98" s="45"/>
    </row>
    <row r="99" spans="1:16" ht="75" customHeight="1" hidden="1">
      <c r="A99" s="26"/>
      <c r="B99" s="28" t="s">
        <v>17</v>
      </c>
      <c r="C99" s="11" t="s">
        <v>18</v>
      </c>
      <c r="D99" s="47"/>
      <c r="E99" s="47"/>
      <c r="F99" s="47"/>
      <c r="G99" s="47"/>
      <c r="H99" s="47"/>
      <c r="I99" s="47"/>
      <c r="J99" s="47">
        <v>0.6</v>
      </c>
      <c r="K99" s="47"/>
      <c r="L99" s="47"/>
      <c r="M99" s="47"/>
      <c r="N99" s="46"/>
      <c r="O99" s="47"/>
      <c r="P99" s="45"/>
    </row>
    <row r="100" spans="1:16" ht="114" customHeight="1" hidden="1">
      <c r="A100" s="25" t="s">
        <v>118</v>
      </c>
      <c r="B100" s="19" t="s">
        <v>4</v>
      </c>
      <c r="C100" s="11" t="s">
        <v>178</v>
      </c>
      <c r="D100" s="47"/>
      <c r="E100" s="47"/>
      <c r="F100" s="45"/>
      <c r="G100" s="47"/>
      <c r="H100" s="47"/>
      <c r="I100" s="45"/>
      <c r="J100" s="47"/>
      <c r="K100" s="47"/>
      <c r="L100" s="47"/>
      <c r="M100" s="47"/>
      <c r="N100" s="46"/>
      <c r="O100" s="47"/>
      <c r="P100" s="45"/>
    </row>
    <row r="101" spans="1:16" ht="27.75" customHeight="1" hidden="1">
      <c r="A101" s="25" t="s">
        <v>119</v>
      </c>
      <c r="B101" s="19" t="s">
        <v>120</v>
      </c>
      <c r="C101" s="11" t="s">
        <v>178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6"/>
      <c r="O101" s="47"/>
      <c r="P101" s="45"/>
    </row>
    <row r="102" spans="1:16" ht="27.75" customHeight="1">
      <c r="A102" s="25" t="s">
        <v>29</v>
      </c>
      <c r="B102" s="19" t="s">
        <v>220</v>
      </c>
      <c r="C102" s="11" t="s">
        <v>178</v>
      </c>
      <c r="D102" s="44" t="e">
        <f>D78+D81+D86+D87</f>
        <v>#REF!</v>
      </c>
      <c r="E102" s="44">
        <f>E78+E81+E86+E87</f>
        <v>46574.90958</v>
      </c>
      <c r="F102" s="45" t="e">
        <f>E102-D102</f>
        <v>#REF!</v>
      </c>
      <c r="G102" s="44">
        <f>G78+G81+G86+G87</f>
        <v>51101.97000000001</v>
      </c>
      <c r="H102" s="44" t="e">
        <f>H78+H81+H86+H87</f>
        <v>#REF!</v>
      </c>
      <c r="I102" s="45" t="e">
        <f>H102-G102</f>
        <v>#REF!</v>
      </c>
      <c r="J102" s="44">
        <v>54029.79</v>
      </c>
      <c r="K102" s="44" t="e">
        <f>K78+K81+K86+K87</f>
        <v>#REF!</v>
      </c>
      <c r="L102" s="44"/>
      <c r="M102" s="59">
        <f>M103+M104</f>
        <v>56848.54</v>
      </c>
      <c r="N102" s="46">
        <f>M102/J102</f>
        <v>1.0521702934621808</v>
      </c>
      <c r="O102" s="44"/>
      <c r="P102" s="45">
        <f>O102/J102</f>
        <v>0</v>
      </c>
    </row>
    <row r="103" spans="1:16" ht="26.25" customHeight="1">
      <c r="A103" s="25"/>
      <c r="B103" s="19" t="s">
        <v>251</v>
      </c>
      <c r="C103" s="11" t="s">
        <v>178</v>
      </c>
      <c r="D103" s="44"/>
      <c r="E103" s="44"/>
      <c r="F103" s="45"/>
      <c r="G103" s="44"/>
      <c r="H103" s="44" t="e">
        <f>H102-H104</f>
        <v>#REF!</v>
      </c>
      <c r="I103" s="45"/>
      <c r="J103" s="44">
        <v>53866.28</v>
      </c>
      <c r="K103" s="44" t="e">
        <f>K102-K104</f>
        <v>#REF!</v>
      </c>
      <c r="L103" s="44"/>
      <c r="M103" s="59">
        <v>51693.26</v>
      </c>
      <c r="N103" s="46"/>
      <c r="O103" s="44"/>
      <c r="P103" s="45"/>
    </row>
    <row r="104" spans="1:16" ht="19.5" customHeight="1">
      <c r="A104" s="25"/>
      <c r="B104" s="19" t="s">
        <v>252</v>
      </c>
      <c r="C104" s="11" t="s">
        <v>178</v>
      </c>
      <c r="D104" s="44"/>
      <c r="E104" s="44"/>
      <c r="F104" s="45"/>
      <c r="G104" s="44"/>
      <c r="H104" s="44" t="e">
        <f>#REF!</f>
        <v>#REF!</v>
      </c>
      <c r="I104" s="45"/>
      <c r="J104" s="44">
        <v>163.51</v>
      </c>
      <c r="K104" s="44" t="e">
        <f>#REF!</f>
        <v>#REF!</v>
      </c>
      <c r="L104" s="44"/>
      <c r="M104" s="59">
        <v>5155.28</v>
      </c>
      <c r="N104" s="46"/>
      <c r="O104" s="44"/>
      <c r="P104" s="45"/>
    </row>
    <row r="105" spans="1:16" ht="18.75" hidden="1">
      <c r="A105" s="25"/>
      <c r="B105" s="27" t="s">
        <v>37</v>
      </c>
      <c r="C105" s="24"/>
      <c r="D105" s="47"/>
      <c r="E105" s="47"/>
      <c r="F105" s="45"/>
      <c r="G105" s="47"/>
      <c r="H105" s="47"/>
      <c r="I105" s="45"/>
      <c r="J105" s="47"/>
      <c r="K105" s="47"/>
      <c r="L105" s="47"/>
      <c r="M105" s="60"/>
      <c r="N105" s="46"/>
      <c r="O105" s="47"/>
      <c r="P105" s="45"/>
    </row>
    <row r="106" spans="1:16" ht="18.75" hidden="1">
      <c r="A106" s="25"/>
      <c r="B106" s="5" t="s">
        <v>24</v>
      </c>
      <c r="C106" s="11" t="s">
        <v>176</v>
      </c>
      <c r="D106" s="47"/>
      <c r="E106" s="47"/>
      <c r="F106" s="45"/>
      <c r="G106" s="47">
        <v>1615.17</v>
      </c>
      <c r="H106" s="47">
        <f>H108+H110</f>
        <v>1249.8626666666667</v>
      </c>
      <c r="I106" s="45"/>
      <c r="J106" s="47">
        <v>1615.17</v>
      </c>
      <c r="K106" s="47">
        <f>K108+K110</f>
        <v>261.29553333333337</v>
      </c>
      <c r="L106" s="47"/>
      <c r="M106" s="60">
        <f>M108+M110</f>
        <v>1797.0333333333333</v>
      </c>
      <c r="N106" s="46">
        <f>M106/J106</f>
        <v>1.1125970228108082</v>
      </c>
      <c r="O106" s="47"/>
      <c r="P106" s="45">
        <f>O106/J106</f>
        <v>0</v>
      </c>
    </row>
    <row r="107" spans="1:16" ht="18.75" hidden="1">
      <c r="A107" s="25"/>
      <c r="B107" s="5" t="s">
        <v>39</v>
      </c>
      <c r="C107" s="11" t="s">
        <v>176</v>
      </c>
      <c r="D107" s="47"/>
      <c r="E107" s="47"/>
      <c r="F107" s="45"/>
      <c r="G107" s="47"/>
      <c r="H107" s="47"/>
      <c r="I107" s="45"/>
      <c r="J107" s="47"/>
      <c r="K107" s="47"/>
      <c r="L107" s="47"/>
      <c r="M107" s="60"/>
      <c r="N107" s="46"/>
      <c r="O107" s="47"/>
      <c r="P107" s="45"/>
    </row>
    <row r="108" spans="1:16" ht="18.75" hidden="1">
      <c r="A108" s="25"/>
      <c r="B108" s="5" t="s">
        <v>38</v>
      </c>
      <c r="C108" s="11" t="s">
        <v>176</v>
      </c>
      <c r="D108" s="47"/>
      <c r="E108" s="47"/>
      <c r="F108" s="45"/>
      <c r="G108" s="47">
        <v>5.7</v>
      </c>
      <c r="H108" s="47">
        <v>5.7</v>
      </c>
      <c r="I108" s="45"/>
      <c r="J108" s="47">
        <v>5.7</v>
      </c>
      <c r="K108" s="47">
        <f>J108/4</f>
        <v>1.425</v>
      </c>
      <c r="L108" s="47"/>
      <c r="M108" s="60">
        <v>5.7</v>
      </c>
      <c r="N108" s="46">
        <f>M108/J108</f>
        <v>1</v>
      </c>
      <c r="O108" s="47"/>
      <c r="P108" s="45">
        <f>O108/J108</f>
        <v>0</v>
      </c>
    </row>
    <row r="109" spans="1:16" ht="18.75" hidden="1">
      <c r="A109" s="25"/>
      <c r="B109" s="5" t="s">
        <v>40</v>
      </c>
      <c r="C109" s="11" t="s">
        <v>176</v>
      </c>
      <c r="D109" s="47"/>
      <c r="E109" s="47"/>
      <c r="F109" s="45"/>
      <c r="G109" s="47"/>
      <c r="H109" s="47"/>
      <c r="I109" s="45"/>
      <c r="J109" s="47"/>
      <c r="K109" s="47"/>
      <c r="L109" s="47"/>
      <c r="M109" s="60"/>
      <c r="N109" s="46"/>
      <c r="O109" s="47"/>
      <c r="P109" s="45"/>
    </row>
    <row r="110" spans="1:16" ht="18.75" hidden="1">
      <c r="A110" s="25"/>
      <c r="B110" s="5" t="s">
        <v>41</v>
      </c>
      <c r="C110" s="11" t="s">
        <v>176</v>
      </c>
      <c r="D110" s="47"/>
      <c r="E110" s="47"/>
      <c r="F110" s="45"/>
      <c r="G110" s="47">
        <v>1609.7</v>
      </c>
      <c r="H110" s="47">
        <f>H113/0.75</f>
        <v>1244.1626666666666</v>
      </c>
      <c r="I110" s="45"/>
      <c r="J110" s="47">
        <v>1609.47</v>
      </c>
      <c r="K110" s="47">
        <f>K113/0.75</f>
        <v>259.87053333333336</v>
      </c>
      <c r="L110" s="47"/>
      <c r="M110" s="60">
        <f>M113/0.75</f>
        <v>1791.3333333333333</v>
      </c>
      <c r="N110" s="46">
        <f aca="true" t="shared" si="10" ref="N110:N118">M110/J110</f>
        <v>1.1129957895042053</v>
      </c>
      <c r="O110" s="47"/>
      <c r="P110" s="45">
        <f aca="true" t="shared" si="11" ref="P110:P118">O110/J110</f>
        <v>0</v>
      </c>
    </row>
    <row r="111" spans="1:16" ht="18.75" hidden="1">
      <c r="A111" s="25"/>
      <c r="B111" s="5" t="s">
        <v>42</v>
      </c>
      <c r="C111" s="11" t="s">
        <v>176</v>
      </c>
      <c r="D111" s="47"/>
      <c r="E111" s="47"/>
      <c r="F111" s="45"/>
      <c r="G111" s="47">
        <v>402.37</v>
      </c>
      <c r="H111" s="47">
        <f>H110*H112/100</f>
        <v>311.04066666666665</v>
      </c>
      <c r="I111" s="45"/>
      <c r="J111" s="47">
        <v>402.37</v>
      </c>
      <c r="K111" s="47">
        <f>K110*K112/100</f>
        <v>64.96763333333334</v>
      </c>
      <c r="L111" s="47"/>
      <c r="M111" s="60">
        <f>M110*M112/100</f>
        <v>447.83333333333326</v>
      </c>
      <c r="N111" s="46">
        <f t="shared" si="10"/>
        <v>1.1129888742533818</v>
      </c>
      <c r="O111" s="47"/>
      <c r="P111" s="45">
        <f t="shared" si="11"/>
        <v>0</v>
      </c>
    </row>
    <row r="112" spans="1:16" ht="18.75" hidden="1">
      <c r="A112" s="25"/>
      <c r="B112" s="5" t="s">
        <v>43</v>
      </c>
      <c r="C112" s="11" t="s">
        <v>18</v>
      </c>
      <c r="D112" s="47"/>
      <c r="E112" s="47"/>
      <c r="F112" s="45"/>
      <c r="G112" s="47">
        <v>25</v>
      </c>
      <c r="H112" s="47">
        <v>25</v>
      </c>
      <c r="I112" s="45"/>
      <c r="J112" s="47">
        <v>25</v>
      </c>
      <c r="K112" s="47">
        <v>25</v>
      </c>
      <c r="L112" s="47"/>
      <c r="M112" s="60">
        <v>25</v>
      </c>
      <c r="N112" s="46">
        <f t="shared" si="10"/>
        <v>1</v>
      </c>
      <c r="O112" s="47"/>
      <c r="P112" s="45">
        <f t="shared" si="11"/>
        <v>0</v>
      </c>
    </row>
    <row r="113" spans="1:16" ht="19.5">
      <c r="A113" s="25" t="s">
        <v>46</v>
      </c>
      <c r="B113" s="19" t="s">
        <v>121</v>
      </c>
      <c r="C113" s="11" t="s">
        <v>176</v>
      </c>
      <c r="D113" s="44">
        <v>1247.1</v>
      </c>
      <c r="E113" s="44">
        <v>935.7</v>
      </c>
      <c r="F113" s="45">
        <f aca="true" t="shared" si="12" ref="F113:F125">E113-D113</f>
        <v>-311.39999999999986</v>
      </c>
      <c r="G113" s="44">
        <v>1207.1</v>
      </c>
      <c r="H113" s="44">
        <f>H114+H118</f>
        <v>933.122</v>
      </c>
      <c r="I113" s="45">
        <f aca="true" t="shared" si="13" ref="I113:I125">H113-G113</f>
        <v>-273.97799999999995</v>
      </c>
      <c r="J113" s="44">
        <v>1207.1</v>
      </c>
      <c r="K113" s="44">
        <f>K114+K118</f>
        <v>194.90290000000002</v>
      </c>
      <c r="L113" s="42"/>
      <c r="M113" s="59">
        <f>M114+M118</f>
        <v>1343.5</v>
      </c>
      <c r="N113" s="46">
        <f t="shared" si="10"/>
        <v>1.1129980946069091</v>
      </c>
      <c r="O113" s="44"/>
      <c r="P113" s="45">
        <f t="shared" si="11"/>
        <v>0</v>
      </c>
    </row>
    <row r="114" spans="1:16" ht="18.75">
      <c r="A114" s="25"/>
      <c r="B114" s="19" t="s">
        <v>251</v>
      </c>
      <c r="C114" s="11" t="s">
        <v>176</v>
      </c>
      <c r="D114" s="44">
        <f>D115+D116+D117</f>
        <v>1247.1</v>
      </c>
      <c r="E114" s="44">
        <f>E115+E116+E117</f>
        <v>927.1899999999999</v>
      </c>
      <c r="F114" s="45">
        <f t="shared" si="12"/>
        <v>-319.90999999999997</v>
      </c>
      <c r="G114" s="44">
        <f>G115+G116+G117</f>
        <v>1157.1</v>
      </c>
      <c r="H114" s="44">
        <f>H115+H116+H117</f>
        <v>927.852</v>
      </c>
      <c r="I114" s="45">
        <f t="shared" si="13"/>
        <v>-229.24799999999993</v>
      </c>
      <c r="J114" s="44">
        <f>J115+J116+J117</f>
        <v>1197.1</v>
      </c>
      <c r="K114" s="44">
        <f>K115+K116+K117</f>
        <v>194.90290000000002</v>
      </c>
      <c r="L114" s="44"/>
      <c r="M114" s="59">
        <f>M115+M116+M117</f>
        <v>1043.5</v>
      </c>
      <c r="N114" s="46">
        <f t="shared" si="10"/>
        <v>0.8716899173001421</v>
      </c>
      <c r="O114" s="44"/>
      <c r="P114" s="45">
        <f t="shared" si="11"/>
        <v>0</v>
      </c>
    </row>
    <row r="115" spans="1:16" ht="18.75">
      <c r="A115" s="26" t="s">
        <v>28</v>
      </c>
      <c r="B115" s="20" t="s">
        <v>19</v>
      </c>
      <c r="C115" s="9" t="s">
        <v>143</v>
      </c>
      <c r="D115" s="47">
        <v>1025.51</v>
      </c>
      <c r="E115" s="47">
        <v>749.5</v>
      </c>
      <c r="F115" s="45">
        <f t="shared" si="12"/>
        <v>-276.01</v>
      </c>
      <c r="G115" s="47">
        <v>1025.51</v>
      </c>
      <c r="H115" s="47">
        <f>773.51+4.165</f>
        <v>777.675</v>
      </c>
      <c r="I115" s="45">
        <f t="shared" si="13"/>
        <v>-247.83500000000004</v>
      </c>
      <c r="J115" s="47">
        <v>1025.51</v>
      </c>
      <c r="K115" s="47">
        <f>159.721+0.1039</f>
        <v>159.8249</v>
      </c>
      <c r="L115" s="47"/>
      <c r="M115" s="60">
        <v>880.1</v>
      </c>
      <c r="N115" s="46">
        <f t="shared" si="10"/>
        <v>0.8582071359616191</v>
      </c>
      <c r="O115" s="47"/>
      <c r="P115" s="45">
        <f t="shared" si="11"/>
        <v>0</v>
      </c>
    </row>
    <row r="116" spans="1:16" ht="18.75">
      <c r="A116" s="26" t="s">
        <v>47</v>
      </c>
      <c r="B116" s="20" t="s">
        <v>222</v>
      </c>
      <c r="C116" s="9" t="s">
        <v>143</v>
      </c>
      <c r="D116" s="47">
        <v>66.28</v>
      </c>
      <c r="E116" s="47">
        <v>71.9</v>
      </c>
      <c r="F116" s="45">
        <f t="shared" si="12"/>
        <v>5.6200000000000045</v>
      </c>
      <c r="G116" s="47">
        <v>66.28</v>
      </c>
      <c r="H116" s="47">
        <v>68.99</v>
      </c>
      <c r="I116" s="45">
        <f t="shared" si="13"/>
        <v>2.7099999999999937</v>
      </c>
      <c r="J116" s="47">
        <v>66.28</v>
      </c>
      <c r="K116" s="47">
        <v>16.473</v>
      </c>
      <c r="L116" s="47"/>
      <c r="M116" s="60">
        <v>62.3</v>
      </c>
      <c r="N116" s="46">
        <f t="shared" si="10"/>
        <v>0.9399517199758599</v>
      </c>
      <c r="O116" s="47"/>
      <c r="P116" s="45">
        <f t="shared" si="11"/>
        <v>0</v>
      </c>
    </row>
    <row r="117" spans="1:16" ht="18.75">
      <c r="A117" s="26" t="s">
        <v>49</v>
      </c>
      <c r="B117" s="20" t="s">
        <v>20</v>
      </c>
      <c r="C117" s="9" t="s">
        <v>143</v>
      </c>
      <c r="D117" s="47">
        <v>155.31</v>
      </c>
      <c r="E117" s="47">
        <f>114.3-E121</f>
        <v>105.78999999999999</v>
      </c>
      <c r="F117" s="45">
        <f t="shared" si="12"/>
        <v>-49.52000000000001</v>
      </c>
      <c r="G117" s="47">
        <f>115.31-G121</f>
        <v>65.31</v>
      </c>
      <c r="H117" s="47">
        <v>81.187</v>
      </c>
      <c r="I117" s="45">
        <f t="shared" si="13"/>
        <v>15.876999999999995</v>
      </c>
      <c r="J117" s="47">
        <f>115.31-J121</f>
        <v>105.31</v>
      </c>
      <c r="K117" s="47">
        <v>18.605</v>
      </c>
      <c r="L117" s="47"/>
      <c r="M117" s="60">
        <v>101.1</v>
      </c>
      <c r="N117" s="46">
        <f t="shared" si="10"/>
        <v>0.9600227898585129</v>
      </c>
      <c r="O117" s="47"/>
      <c r="P117" s="45">
        <f t="shared" si="11"/>
        <v>0</v>
      </c>
    </row>
    <row r="118" spans="1:16" ht="18.75">
      <c r="A118" s="26"/>
      <c r="B118" s="19" t="s">
        <v>252</v>
      </c>
      <c r="C118" s="9" t="s">
        <v>143</v>
      </c>
      <c r="D118" s="44">
        <f>D119+D120+D121</f>
        <v>50</v>
      </c>
      <c r="E118" s="44">
        <f>E119+E120+E121</f>
        <v>8.51</v>
      </c>
      <c r="F118" s="45">
        <f t="shared" si="12"/>
        <v>-41.49</v>
      </c>
      <c r="G118" s="44">
        <f>G119+G120+G121</f>
        <v>50</v>
      </c>
      <c r="H118" s="44">
        <f>H119+H120+H121</f>
        <v>5.27</v>
      </c>
      <c r="I118" s="45">
        <f t="shared" si="13"/>
        <v>-44.730000000000004</v>
      </c>
      <c r="J118" s="44">
        <f>J119+J120+J121</f>
        <v>10</v>
      </c>
      <c r="K118" s="44">
        <f>K119+K120+K121</f>
        <v>0</v>
      </c>
      <c r="L118" s="44"/>
      <c r="M118" s="59">
        <f>300</f>
        <v>300</v>
      </c>
      <c r="N118" s="46">
        <f t="shared" si="10"/>
        <v>30</v>
      </c>
      <c r="O118" s="44"/>
      <c r="P118" s="45">
        <f t="shared" si="11"/>
        <v>0</v>
      </c>
    </row>
    <row r="119" spans="1:16" ht="18.75">
      <c r="A119" s="26"/>
      <c r="B119" s="20" t="s">
        <v>19</v>
      </c>
      <c r="C119" s="9" t="s">
        <v>143</v>
      </c>
      <c r="D119" s="47">
        <v>0</v>
      </c>
      <c r="E119" s="47">
        <v>0</v>
      </c>
      <c r="F119" s="45">
        <f t="shared" si="12"/>
        <v>0</v>
      </c>
      <c r="G119" s="47">
        <v>0</v>
      </c>
      <c r="H119" s="47">
        <v>0</v>
      </c>
      <c r="I119" s="45">
        <f t="shared" si="13"/>
        <v>0</v>
      </c>
      <c r="J119" s="47">
        <v>0</v>
      </c>
      <c r="K119" s="47">
        <v>0</v>
      </c>
      <c r="L119" s="47"/>
      <c r="M119" s="60">
        <v>0</v>
      </c>
      <c r="N119" s="46"/>
      <c r="O119" s="47"/>
      <c r="P119" s="45"/>
    </row>
    <row r="120" spans="1:16" ht="18.75">
      <c r="A120" s="26"/>
      <c r="B120" s="20" t="s">
        <v>222</v>
      </c>
      <c r="C120" s="9" t="s">
        <v>143</v>
      </c>
      <c r="D120" s="47">
        <v>0</v>
      </c>
      <c r="E120" s="47">
        <v>0</v>
      </c>
      <c r="F120" s="45">
        <f t="shared" si="12"/>
        <v>0</v>
      </c>
      <c r="G120" s="47">
        <v>0</v>
      </c>
      <c r="H120" s="47">
        <v>0</v>
      </c>
      <c r="I120" s="45">
        <f t="shared" si="13"/>
        <v>0</v>
      </c>
      <c r="J120" s="47">
        <v>0</v>
      </c>
      <c r="K120" s="47">
        <v>0</v>
      </c>
      <c r="L120" s="47"/>
      <c r="M120" s="60">
        <v>0</v>
      </c>
      <c r="N120" s="46"/>
      <c r="O120" s="47"/>
      <c r="P120" s="45"/>
    </row>
    <row r="121" spans="1:16" ht="18.75">
      <c r="A121" s="26"/>
      <c r="B121" s="20" t="s">
        <v>20</v>
      </c>
      <c r="C121" s="9" t="s">
        <v>143</v>
      </c>
      <c r="D121" s="47">
        <v>50</v>
      </c>
      <c r="E121" s="47">
        <v>8.51</v>
      </c>
      <c r="F121" s="45">
        <f t="shared" si="12"/>
        <v>-41.49</v>
      </c>
      <c r="G121" s="47">
        <v>50</v>
      </c>
      <c r="H121" s="47">
        <v>5.27</v>
      </c>
      <c r="I121" s="45">
        <f t="shared" si="13"/>
        <v>-44.730000000000004</v>
      </c>
      <c r="J121" s="47">
        <v>10</v>
      </c>
      <c r="K121" s="47">
        <v>0</v>
      </c>
      <c r="L121" s="47"/>
      <c r="M121" s="60">
        <v>300</v>
      </c>
      <c r="N121" s="46">
        <f>M121/J121</f>
        <v>30</v>
      </c>
      <c r="O121" s="47"/>
      <c r="P121" s="45">
        <f>O121/J121</f>
        <v>0</v>
      </c>
    </row>
    <row r="122" spans="1:16" ht="18.75">
      <c r="A122" s="25" t="s">
        <v>30</v>
      </c>
      <c r="B122" s="19" t="str">
        <f>"Тариф ("&amp;реквизиты!E42&amp;")"</f>
        <v>Тариф (без учета НДС)</v>
      </c>
      <c r="C122" s="8"/>
      <c r="D122" s="47"/>
      <c r="E122" s="47"/>
      <c r="F122" s="45"/>
      <c r="G122" s="47"/>
      <c r="H122" s="47"/>
      <c r="I122" s="45"/>
      <c r="J122" s="47"/>
      <c r="K122" s="47"/>
      <c r="L122" s="47"/>
      <c r="M122" s="61"/>
      <c r="N122" s="46"/>
      <c r="O122" s="47"/>
      <c r="P122" s="45"/>
    </row>
    <row r="123" spans="1:16" ht="18.75">
      <c r="A123" s="25"/>
      <c r="B123" s="19" t="s">
        <v>251</v>
      </c>
      <c r="C123" s="9" t="s">
        <v>177</v>
      </c>
      <c r="D123" s="47"/>
      <c r="E123" s="47"/>
      <c r="F123" s="45"/>
      <c r="G123" s="47"/>
      <c r="H123" s="47"/>
      <c r="I123" s="45"/>
      <c r="J123" s="47"/>
      <c r="K123" s="47"/>
      <c r="L123" s="47"/>
      <c r="M123" s="59">
        <f>M103/M114</f>
        <v>49.538342117872546</v>
      </c>
      <c r="N123" s="46"/>
      <c r="O123" s="47"/>
      <c r="P123" s="45"/>
    </row>
    <row r="124" spans="1:16" ht="18.75">
      <c r="A124" s="26"/>
      <c r="B124" s="19" t="s">
        <v>252</v>
      </c>
      <c r="C124" s="9" t="s">
        <v>177</v>
      </c>
      <c r="D124" s="47"/>
      <c r="E124" s="47"/>
      <c r="F124" s="45"/>
      <c r="G124" s="47"/>
      <c r="H124" s="47"/>
      <c r="I124" s="45"/>
      <c r="J124" s="47"/>
      <c r="K124" s="47"/>
      <c r="L124" s="47"/>
      <c r="M124" s="59">
        <f>M104/M118</f>
        <v>17.184266666666666</v>
      </c>
      <c r="N124" s="46"/>
      <c r="O124" s="47"/>
      <c r="P124" s="45"/>
    </row>
    <row r="125" spans="1:16" ht="18.75">
      <c r="A125" s="8"/>
      <c r="C125" s="8"/>
      <c r="D125" s="44">
        <v>40.16</v>
      </c>
      <c r="E125" s="44">
        <v>50.13</v>
      </c>
      <c r="F125" s="45">
        <f t="shared" si="12"/>
        <v>9.970000000000006</v>
      </c>
      <c r="G125" s="44">
        <v>43.55</v>
      </c>
      <c r="H125" s="44" t="e">
        <f>H102/H114</f>
        <v>#REF!</v>
      </c>
      <c r="I125" s="45" t="e">
        <f t="shared" si="13"/>
        <v>#REF!</v>
      </c>
      <c r="J125" s="44">
        <v>44.76</v>
      </c>
      <c r="K125" s="44" t="e">
        <f>K102/K114</f>
        <v>#REF!</v>
      </c>
      <c r="L125" s="44"/>
      <c r="N125" s="46">
        <f>M123/J125</f>
        <v>1.1067547390051955</v>
      </c>
      <c r="O125" s="44"/>
      <c r="P125" s="45">
        <f>O125/J125</f>
        <v>0</v>
      </c>
    </row>
    <row r="126" spans="1:16" ht="18.75">
      <c r="A126" s="52"/>
      <c r="B126" s="43"/>
      <c r="C126" s="7"/>
      <c r="D126" s="18"/>
      <c r="E126" s="18"/>
      <c r="F126" s="50"/>
      <c r="G126" s="18"/>
      <c r="H126" s="18"/>
      <c r="I126" s="50"/>
      <c r="J126" s="18"/>
      <c r="K126" s="18"/>
      <c r="L126" s="18"/>
      <c r="M126" s="18"/>
      <c r="N126" s="51"/>
      <c r="O126" s="18"/>
      <c r="P126" s="50"/>
    </row>
  </sheetData>
  <sheetProtection/>
  <mergeCells count="13">
    <mergeCell ref="C5:C6"/>
    <mergeCell ref="J5:L5"/>
    <mergeCell ref="G5:I5"/>
    <mergeCell ref="Q45:X45"/>
    <mergeCell ref="Q46:AJ46"/>
    <mergeCell ref="M5:P5"/>
    <mergeCell ref="D5:F5"/>
    <mergeCell ref="A4:M4"/>
    <mergeCell ref="N1:O1"/>
    <mergeCell ref="A2:P2"/>
    <mergeCell ref="A3:P3"/>
    <mergeCell ref="A5:A6"/>
    <mergeCell ref="B5:B6"/>
  </mergeCells>
  <printOptions/>
  <pageMargins left="0.03937007874015748" right="0.03937007874015748" top="0.03937007874015748" bottom="0.07874015748031496" header="0.07874015748031496" footer="0.07874015748031496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Хрулева</dc:creator>
  <cp:keywords/>
  <dc:description/>
  <cp:lastModifiedBy>клиент</cp:lastModifiedBy>
  <cp:lastPrinted>2013-05-08T07:15:28Z</cp:lastPrinted>
  <dcterms:created xsi:type="dcterms:W3CDTF">2010-10-08T09:54:11Z</dcterms:created>
  <dcterms:modified xsi:type="dcterms:W3CDTF">2013-05-08T07:21:11Z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